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ts\tmdfs\RB\kielite\My Documents\Dokumenti\VPD konc zin_DL 35 st\16.04.2021. versija\"/>
    </mc:Choice>
  </mc:AlternateContent>
  <xr:revisionPtr revIDLastSave="0" documentId="13_ncr:1_{38937DE9-D73E-4E2F-A09C-BCCA5053B0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_a_v" sheetId="5" r:id="rId1"/>
    <sheet name="Av_algas" sheetId="1" r:id="rId2"/>
  </sheets>
  <definedNames>
    <definedName name="_xlnm.Print_Titles" localSheetId="0">'20_a_v'!$3:$4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23" i="5"/>
  <c r="G23" i="5"/>
  <c r="G25" i="5" l="1"/>
  <c r="G33" i="5" s="1"/>
  <c r="F25" i="5"/>
  <c r="F33" i="5" s="1"/>
  <c r="E25" i="5"/>
  <c r="E33" i="5" s="1"/>
  <c r="G22" i="5" l="1"/>
  <c r="E22" i="5"/>
  <c r="F22" i="5"/>
  <c r="B16" i="1" l="1"/>
  <c r="D15" i="1"/>
  <c r="E15" i="1" s="1"/>
  <c r="F15" i="1" s="1"/>
  <c r="D14" i="1"/>
  <c r="E14" i="1" s="1"/>
  <c r="F14" i="1" s="1"/>
  <c r="D13" i="1"/>
  <c r="E13" i="1" s="1"/>
  <c r="F13" i="1" s="1"/>
  <c r="D12" i="1"/>
  <c r="E12" i="1" s="1"/>
  <c r="F12" i="1" s="1"/>
  <c r="F16" i="1" l="1"/>
  <c r="G28" i="5"/>
  <c r="G20" i="5" s="1"/>
  <c r="D28" i="5"/>
  <c r="F28" i="5"/>
  <c r="F20" i="5" s="1"/>
  <c r="E28" i="5"/>
  <c r="E20" i="5" s="1"/>
  <c r="E16" i="1"/>
  <c r="D10" i="5" s="1"/>
  <c r="D21" i="5" l="1"/>
  <c r="D20" i="5"/>
  <c r="D24" i="5"/>
  <c r="D23" i="5" s="1"/>
  <c r="F21" i="5"/>
  <c r="G21" i="5"/>
  <c r="E21" i="5"/>
  <c r="E19" i="5" s="1"/>
  <c r="D26" i="5"/>
  <c r="D25" i="5" s="1"/>
  <c r="D18" i="5"/>
  <c r="F18" i="5"/>
  <c r="G10" i="5"/>
  <c r="E10" i="5"/>
  <c r="F10" i="5"/>
  <c r="G18" i="5"/>
  <c r="E18" i="5"/>
  <c r="D19" i="5" l="1"/>
  <c r="D22" i="5"/>
  <c r="G19" i="5"/>
  <c r="G32" i="5" s="1"/>
  <c r="F19" i="5"/>
  <c r="F32" i="5" s="1"/>
  <c r="E32" i="5"/>
  <c r="D33" i="5"/>
  <c r="F12" i="5"/>
  <c r="F9" i="5"/>
  <c r="G9" i="5"/>
  <c r="G12" i="5"/>
  <c r="E12" i="5"/>
  <c r="E9" i="5"/>
  <c r="D12" i="5"/>
  <c r="D9" i="5"/>
  <c r="D32" i="5" l="1"/>
  <c r="E14" i="5"/>
  <c r="E13" i="5"/>
  <c r="E17" i="5"/>
  <c r="G13" i="5"/>
  <c r="G14" i="5"/>
  <c r="G17" i="5"/>
  <c r="D17" i="5"/>
  <c r="D14" i="5"/>
  <c r="D13" i="5"/>
  <c r="F13" i="5"/>
  <c r="F17" i="5"/>
  <c r="F14" i="5"/>
  <c r="E11" i="5" l="1"/>
  <c r="E8" i="5" s="1"/>
  <c r="E16" i="5" s="1"/>
  <c r="E15" i="5" s="1"/>
  <c r="E31" i="5" s="1"/>
  <c r="D11" i="5"/>
  <c r="D8" i="5" s="1"/>
  <c r="G11" i="5"/>
  <c r="G8" i="5" s="1"/>
  <c r="F11" i="5"/>
  <c r="F8" i="5" s="1"/>
  <c r="E30" i="5" l="1"/>
  <c r="E29" i="5" s="1"/>
  <c r="E34" i="5" s="1"/>
  <c r="F16" i="5"/>
  <c r="F15" i="5" s="1"/>
  <c r="G30" i="5"/>
  <c r="G16" i="5"/>
  <c r="G15" i="5" s="1"/>
  <c r="G31" i="5" s="1"/>
  <c r="D30" i="5"/>
  <c r="D16" i="5"/>
  <c r="D15" i="5" s="1"/>
  <c r="D31" i="5" s="1"/>
  <c r="F30" i="5"/>
  <c r="E7" i="5"/>
  <c r="E6" i="5" l="1"/>
  <c r="E5" i="5" s="1"/>
  <c r="E35" i="5" s="1"/>
  <c r="D29" i="5"/>
  <c r="D34" i="5" s="1"/>
  <c r="F31" i="5"/>
  <c r="F29" i="5" s="1"/>
  <c r="F34" i="5" s="1"/>
  <c r="F7" i="5"/>
  <c r="G29" i="5"/>
  <c r="G34" i="5" s="1"/>
  <c r="G7" i="5"/>
  <c r="D7" i="5"/>
  <c r="D6" i="5" s="1"/>
  <c r="D5" i="5" s="1"/>
  <c r="G6" i="5" l="1"/>
  <c r="G5" i="5" s="1"/>
  <c r="G35" i="5" s="1"/>
  <c r="F6" i="5"/>
  <c r="F5" i="5" s="1"/>
  <c r="F35" i="5" s="1"/>
  <c r="D35" i="5"/>
</calcChain>
</file>

<file path=xl/sharedStrings.xml><?xml version="1.0" encoding="utf-8"?>
<sst xmlns="http://schemas.openxmlformats.org/spreadsheetml/2006/main" count="108" uniqueCount="87">
  <si>
    <t>VaPS</t>
  </si>
  <si>
    <t>VePS Dz</t>
  </si>
  <si>
    <t>VePS</t>
  </si>
  <si>
    <t>PSv</t>
  </si>
  <si>
    <t>Ps</t>
  </si>
  <si>
    <t>EKK</t>
  </si>
  <si>
    <t>2022.gadā</t>
  </si>
  <si>
    <t>2023.gadā</t>
  </si>
  <si>
    <t>Kopā</t>
  </si>
  <si>
    <t>KOPĀ IZDEVUMI</t>
  </si>
  <si>
    <t xml:space="preserve">Kārtējie izdevumi </t>
  </si>
  <si>
    <t>EKK 1000</t>
  </si>
  <si>
    <t xml:space="preserve">Atlīdzība kopā </t>
  </si>
  <si>
    <t>EKK 1100</t>
  </si>
  <si>
    <t xml:space="preserve">Atalgojums </t>
  </si>
  <si>
    <t>EKK 1110</t>
  </si>
  <si>
    <t xml:space="preserve">Mēneša amatalga </t>
  </si>
  <si>
    <t>EKK 1114</t>
  </si>
  <si>
    <t>EKK 1140</t>
  </si>
  <si>
    <t>Piemaksas</t>
  </si>
  <si>
    <t>EKK 1145</t>
  </si>
  <si>
    <t>Vispārējās piemaksas 10% apmērā no plānotās mēnešalgu kopsummas</t>
  </si>
  <si>
    <t>EKK 1110 x 10 %</t>
  </si>
  <si>
    <t>EKK 1148</t>
  </si>
  <si>
    <t>Prēmijas un naudas balvas 10% apmērā plānotās mēnešalgu kopsummas</t>
  </si>
  <si>
    <t>EKK 1200</t>
  </si>
  <si>
    <t xml:space="preserve">Darba devēja  valsts sociālās apdrošināšanas obligātās iemaksas, sociāla rakstura pabalsti un kompensācijas      </t>
  </si>
  <si>
    <t>EKK 1210</t>
  </si>
  <si>
    <t>saskaņā ar aprēķinu</t>
  </si>
  <si>
    <t>EKK 1220</t>
  </si>
  <si>
    <t>Sociālās garantijas 5 % apmērā no plānoto amata vietu (slodžu) skaitam plānotās mēnešalgu kopsummas attiecīgajā kalendāra gadā</t>
  </si>
  <si>
    <t>EKK 1110 x 5 %</t>
  </si>
  <si>
    <t>EKK 1227</t>
  </si>
  <si>
    <t>EKK 2000</t>
  </si>
  <si>
    <t xml:space="preserve">Kārtējie izdevumi precēm un pakalpojumiem </t>
  </si>
  <si>
    <t>EKK 2000; 5000</t>
  </si>
  <si>
    <t>Vienreizējie izdevumi</t>
  </si>
  <si>
    <t xml:space="preserve">Vienreizējie izdevumi precēm un pakalpojumiem </t>
  </si>
  <si>
    <t>EKK 2312</t>
  </si>
  <si>
    <t>EKK 5000</t>
  </si>
  <si>
    <t xml:space="preserve">Vienreizēji izdevumi pamatkapitāla veidošanai </t>
  </si>
  <si>
    <t>EKK 5230</t>
  </si>
  <si>
    <t>Jaunas amata vietas (jauni darbinieki)</t>
  </si>
  <si>
    <t>Kārtējie izdevumi precēm un pakalpojumiem</t>
  </si>
  <si>
    <t xml:space="preserve">Izdevumi pamatkapitāla veidošanai </t>
  </si>
  <si>
    <t>KOPĀ</t>
  </si>
  <si>
    <t>mēnesī</t>
  </si>
  <si>
    <t>gadā</t>
  </si>
  <si>
    <t>2024.gadā un turpmāk</t>
  </si>
  <si>
    <t>Darba devēja izdevumi veselības apdrošināšanai  (242 EUR - veselības apdrošināšanas polises vidējā tirgus vērtība vienam nodarbinatajam). Nodarbinātie veiks darbu, kas pakļauts īpašam riskam.</t>
  </si>
  <si>
    <t>Vienas amata vietas uzturēšanas izdevumi iestādē (sakaru pakalpojumi, IKT nodrošināšana, iekārtu uzturēšana, telpu uzturēšana un komunālie pakalpojumi, biroja preces)</t>
  </si>
  <si>
    <t>Iekšzemes komandējumu un darba braucienu izdevumi (t.sk. degvielas izdevumi braucieniem ar dienesta transportlīdzekli)</t>
  </si>
  <si>
    <t>Inventāra (cenā līdz 500 EUR) iegādes izdevumi darba vietas ierīkošanai (darba galds un krēsls, galda lampa, datora monitors, multifunkcionāla iekārta, UPS iekārta, tālrunis, apmeklētāju krēsls)</t>
  </si>
  <si>
    <t>Detalizēts aprēķins (Dienests turpina īstenot tam noteiktās funkcijas pilnā apjomā)</t>
  </si>
  <si>
    <t>Dienests turpina īstenot tam noteiktās funkcijas pilnā apjomā</t>
  </si>
  <si>
    <t>Piemaksa ierēdnim par bīstamību 25%</t>
  </si>
  <si>
    <t>Vadošie probācijas speciālisti, vecākie probācijas speciālisti un probācijas specialisti saskaņā ar sadlījumu</t>
  </si>
  <si>
    <t>Amats</t>
  </si>
  <si>
    <t>Noteiktā alga</t>
  </si>
  <si>
    <t>Skaits</t>
  </si>
  <si>
    <t>Alga</t>
  </si>
  <si>
    <t>Pamatlīdzekļu iegādes izdevumi darba vietas ierīkošanai (datora sistēmbloks vai portatīvais dators ar programmu nodrošinājumu)</t>
  </si>
  <si>
    <r>
      <t xml:space="preserve">Darba devēja VSAOI </t>
    </r>
    <r>
      <rPr>
        <sz val="10"/>
        <rFont val="Times New Roman"/>
        <family val="1"/>
        <charset val="186"/>
      </rPr>
      <t>23,59</t>
    </r>
    <r>
      <rPr>
        <sz val="10"/>
        <color indexed="8"/>
        <rFont val="Times New Roman"/>
        <family val="1"/>
        <charset val="186"/>
      </rPr>
      <t xml:space="preserve"> %</t>
    </r>
    <r>
      <rPr>
        <b/>
        <sz val="10"/>
        <color indexed="8"/>
        <rFont val="Times New Roman"/>
        <family val="1"/>
        <charset val="186"/>
      </rPr>
      <t xml:space="preserve"> </t>
    </r>
  </si>
  <si>
    <t xml:space="preserve">EKK 1114 × 25%
</t>
  </si>
  <si>
    <r>
      <t xml:space="preserve">2022.gadā un turpmāk </t>
    </r>
    <r>
      <rPr>
        <sz val="10"/>
        <rFont val="Times New Roman"/>
        <family val="1"/>
        <charset val="186"/>
      </rPr>
      <t>20</t>
    </r>
    <r>
      <rPr>
        <sz val="10"/>
        <color indexed="8"/>
        <rFont val="Times New Roman"/>
        <family val="1"/>
        <charset val="186"/>
      </rPr>
      <t xml:space="preserve"> EUR × 20 a. v. × 12 mēn. (2021.g. x 8 mēn.)</t>
    </r>
  </si>
  <si>
    <r>
      <t xml:space="preserve">2022.gadā un turpmāk </t>
    </r>
    <r>
      <rPr>
        <sz val="10"/>
        <rFont val="Times New Roman"/>
        <family val="1"/>
        <charset val="186"/>
      </rPr>
      <t>210</t>
    </r>
    <r>
      <rPr>
        <sz val="10"/>
        <color indexed="8"/>
        <rFont val="Times New Roman"/>
        <family val="1"/>
        <charset val="186"/>
      </rPr>
      <t xml:space="preserve"> EUR × 20 a. v. × 12 mēn. (2021.g. x 8 mēn.)</t>
    </r>
  </si>
  <si>
    <t>2021.gadā (no 1.maija)</t>
  </si>
  <si>
    <t>2021.gadā un turpmāk (242 EUR)× 20 a. v.</t>
  </si>
  <si>
    <t>2021.gadā 1090 EUR × 20 a. v.</t>
  </si>
  <si>
    <t>2021.gadā 1000 EUR × 20 vien.</t>
  </si>
  <si>
    <t xml:space="preserve">2022.gadā un turpmāk attiecīgā mēnešalga × 20 a. v. × 12 mēn.  (2021.g. x 8 mēn.) 
2 amata vietas 1260 euro mēnesī;	     
3 amata vietas 1076 euro mēnesī;	   
3 amata vietas 1026 euro mēnesī;	   
12 amata vietas 976 euro mēnesī   </t>
  </si>
  <si>
    <t>Finanšu aprēķini Valsts probācijas dienesta darbības nodrošināšanai, pārejot uz 35 darba stundu nedēļu</t>
  </si>
  <si>
    <t xml:space="preserve"> Pielikums konceptuālajam ziņojumam "Par Darba likuma 131. panta trešās daļas piemērošanu Valsts probācijas dienesta nodarbinātajiem, kuru darbs ir saistīts ar īpašu risku"                             </t>
  </si>
  <si>
    <t>Ministru prezidenta biedrs,</t>
  </si>
  <si>
    <t>Tieslietu ministrs</t>
  </si>
  <si>
    <t>Jānis Bordāns</t>
  </si>
  <si>
    <t>Iesniedzējs:</t>
  </si>
  <si>
    <t>Tieslietu ministrijas valsts sekretārs</t>
  </si>
  <si>
    <t>Raivis Kronbergs</t>
  </si>
  <si>
    <t>Papsujevičs 67021100</t>
  </si>
  <si>
    <t xml:space="preserve">Mihails.Papsujevics@vpd.gov.lv </t>
  </si>
  <si>
    <t>Linde 67021111</t>
  </si>
  <si>
    <t xml:space="preserve">Ilona.Linde@vpd.gov.lv  </t>
  </si>
  <si>
    <t>Teifurovs 67244846</t>
  </si>
  <si>
    <t xml:space="preserve">Eduards.Teifurovs@vpd.gov.lv </t>
  </si>
  <si>
    <t>Kasjanovs 67021193</t>
  </si>
  <si>
    <t xml:space="preserve">Georgijs.Kasjanovs@vpd.gov.lv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</si>
</sst>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u/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4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7" fillId="2" borderId="3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/>
    <xf numFmtId="0" fontId="7" fillId="3" borderId="1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9" fillId="2" borderId="1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top" wrapText="1"/>
    </xf>
    <xf numFmtId="3" fontId="9" fillId="0" borderId="1" xfId="0" applyNumberFormat="1" applyFont="1" applyFill="1" applyBorder="1" applyAlignment="1">
      <alignment vertical="top" wrapText="1"/>
    </xf>
    <xf numFmtId="0" fontId="2" fillId="0" borderId="0" xfId="0" applyFont="1"/>
    <xf numFmtId="0" fontId="10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0" fontId="10" fillId="0" borderId="10" xfId="0" applyFont="1" applyFill="1" applyBorder="1"/>
    <xf numFmtId="3" fontId="6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3" fontId="11" fillId="0" borderId="1" xfId="0" applyNumberFormat="1" applyFont="1" applyFill="1" applyBorder="1"/>
    <xf numFmtId="0" fontId="12" fillId="0" borderId="13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top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3" fontId="14" fillId="0" borderId="1" xfId="0" applyNumberFormat="1" applyFont="1" applyFill="1" applyBorder="1" applyAlignment="1">
      <alignment horizontal="center"/>
    </xf>
    <xf numFmtId="3" fontId="15" fillId="0" borderId="0" xfId="0" applyNumberFormat="1" applyFont="1"/>
    <xf numFmtId="164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17" fillId="0" borderId="0" xfId="0" applyFont="1" applyFill="1"/>
    <xf numFmtId="165" fontId="17" fillId="0" borderId="0" xfId="1" applyNumberFormat="1" applyFont="1" applyFill="1" applyAlignment="1">
      <alignment horizontal="right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/>
    <xf numFmtId="0" fontId="17" fillId="0" borderId="1" xfId="0" applyFont="1" applyFill="1" applyBorder="1"/>
    <xf numFmtId="165" fontId="17" fillId="0" borderId="1" xfId="1" applyNumberFormat="1" applyFont="1" applyFill="1" applyBorder="1"/>
    <xf numFmtId="0" fontId="17" fillId="0" borderId="2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0" fillId="0" borderId="0" xfId="2" applyFont="1" applyFill="1"/>
  </cellXfs>
  <cellStyles count="3">
    <cellStyle name="Hipersaite" xfId="2" builtinId="8"/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ards.Teifurovs@vpd.gov.lv" TargetMode="External"/><Relationship Id="rId2" Type="http://schemas.openxmlformats.org/officeDocument/2006/relationships/hyperlink" Target="mailto:Ilona.Linde@vpd.gov.lv" TargetMode="External"/><Relationship Id="rId1" Type="http://schemas.openxmlformats.org/officeDocument/2006/relationships/hyperlink" Target="mailto:Mihails.Papsujevics@vpd.gov.l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eorgijs.Kasjanovs@vpd.gov.l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90" zoomScaleNormal="90" workbookViewId="0">
      <selection activeCell="M8" sqref="M8"/>
    </sheetView>
  </sheetViews>
  <sheetFormatPr defaultColWidth="9.140625" defaultRowHeight="15" x14ac:dyDescent="0.25"/>
  <cols>
    <col min="1" max="1" width="19.42578125" style="2" customWidth="1"/>
    <col min="2" max="2" width="37.5703125" style="72" customWidth="1"/>
    <col min="3" max="3" width="41.7109375" style="2" customWidth="1"/>
    <col min="4" max="6" width="11.85546875" style="2" customWidth="1"/>
    <col min="7" max="7" width="11.5703125" style="2" customWidth="1"/>
    <col min="8" max="16384" width="9.140625" style="2"/>
  </cols>
  <sheetData>
    <row r="1" spans="1:7" ht="27.75" customHeight="1" x14ac:dyDescent="0.25">
      <c r="C1" s="99" t="s">
        <v>72</v>
      </c>
      <c r="D1" s="99"/>
      <c r="E1" s="99"/>
      <c r="F1" s="99"/>
      <c r="G1" s="99"/>
    </row>
    <row r="2" spans="1:7" ht="38.25" customHeight="1" x14ac:dyDescent="0.25">
      <c r="A2" s="100" t="s">
        <v>71</v>
      </c>
      <c r="B2" s="100"/>
      <c r="C2" s="100"/>
      <c r="D2" s="100"/>
      <c r="E2" s="100"/>
      <c r="F2" s="100"/>
      <c r="G2" s="100"/>
    </row>
    <row r="3" spans="1:7" ht="25.5" customHeight="1" x14ac:dyDescent="0.25">
      <c r="A3" s="88" t="s">
        <v>5</v>
      </c>
      <c r="B3" s="91" t="s">
        <v>53</v>
      </c>
      <c r="C3" s="92"/>
      <c r="D3" s="71" t="s">
        <v>66</v>
      </c>
      <c r="E3" s="68" t="s">
        <v>6</v>
      </c>
      <c r="F3" s="68" t="s">
        <v>7</v>
      </c>
      <c r="G3" s="68" t="s">
        <v>48</v>
      </c>
    </row>
    <row r="4" spans="1:7" x14ac:dyDescent="0.25">
      <c r="A4" s="89"/>
      <c r="B4" s="93"/>
      <c r="C4" s="94"/>
      <c r="D4" s="3" t="s">
        <v>8</v>
      </c>
      <c r="E4" s="3" t="s">
        <v>8</v>
      </c>
      <c r="F4" s="3" t="s">
        <v>8</v>
      </c>
      <c r="G4" s="3" t="s">
        <v>8</v>
      </c>
    </row>
    <row r="5" spans="1:7" ht="15.75" x14ac:dyDescent="0.25">
      <c r="A5" s="89"/>
      <c r="B5" s="95" t="s">
        <v>9</v>
      </c>
      <c r="C5" s="96"/>
      <c r="D5" s="4">
        <f>D6+D25</f>
        <v>388034</v>
      </c>
      <c r="E5" s="4">
        <f>E6+E22</f>
        <v>514534</v>
      </c>
      <c r="F5" s="5">
        <f>F6+F22</f>
        <v>514534</v>
      </c>
      <c r="G5" s="5">
        <f>G6+G22</f>
        <v>514534</v>
      </c>
    </row>
    <row r="6" spans="1:7" ht="15.75" x14ac:dyDescent="0.25">
      <c r="A6" s="90"/>
      <c r="B6" s="97" t="s">
        <v>10</v>
      </c>
      <c r="C6" s="98"/>
      <c r="D6" s="6">
        <f>D7+D19+D23</f>
        <v>368034</v>
      </c>
      <c r="E6" s="6">
        <f t="shared" ref="E6:G6" si="0">E7+E19+E23</f>
        <v>514534</v>
      </c>
      <c r="F6" s="6">
        <f t="shared" si="0"/>
        <v>514534</v>
      </c>
      <c r="G6" s="6">
        <f t="shared" si="0"/>
        <v>514534</v>
      </c>
    </row>
    <row r="7" spans="1:7" ht="15.75" x14ac:dyDescent="0.25">
      <c r="A7" s="7" t="s">
        <v>11</v>
      </c>
      <c r="B7" s="8" t="s">
        <v>12</v>
      </c>
      <c r="C7" s="9"/>
      <c r="D7" s="10">
        <f t="shared" ref="D7:G7" si="1">D8+D15</f>
        <v>309434</v>
      </c>
      <c r="E7" s="10">
        <f t="shared" si="1"/>
        <v>461734</v>
      </c>
      <c r="F7" s="11">
        <f t="shared" si="1"/>
        <v>461734</v>
      </c>
      <c r="G7" s="11">
        <f t="shared" si="1"/>
        <v>461734</v>
      </c>
    </row>
    <row r="8" spans="1:7" ht="15.75" x14ac:dyDescent="0.25">
      <c r="A8" s="12" t="s">
        <v>13</v>
      </c>
      <c r="B8" s="13" t="s">
        <v>14</v>
      </c>
      <c r="C8" s="14"/>
      <c r="D8" s="15">
        <f t="shared" ref="D8:G8" si="2">D9+D11</f>
        <v>238240</v>
      </c>
      <c r="E8" s="15">
        <f t="shared" si="2"/>
        <v>357362</v>
      </c>
      <c r="F8" s="15">
        <f t="shared" si="2"/>
        <v>357362</v>
      </c>
      <c r="G8" s="15">
        <f t="shared" si="2"/>
        <v>357362</v>
      </c>
    </row>
    <row r="9" spans="1:7" x14ac:dyDescent="0.25">
      <c r="A9" s="16" t="s">
        <v>15</v>
      </c>
      <c r="B9" s="16" t="s">
        <v>16</v>
      </c>
      <c r="C9" s="17"/>
      <c r="D9" s="18">
        <f t="shared" ref="D9:G9" si="3">SUM(D10:D10)</f>
        <v>164304</v>
      </c>
      <c r="E9" s="18">
        <f t="shared" si="3"/>
        <v>246456</v>
      </c>
      <c r="F9" s="18">
        <f t="shared" si="3"/>
        <v>246456</v>
      </c>
      <c r="G9" s="18">
        <f t="shared" si="3"/>
        <v>246456</v>
      </c>
    </row>
    <row r="10" spans="1:7" ht="76.5" x14ac:dyDescent="0.25">
      <c r="A10" s="19" t="s">
        <v>17</v>
      </c>
      <c r="B10" s="73" t="s">
        <v>56</v>
      </c>
      <c r="C10" s="20" t="s">
        <v>70</v>
      </c>
      <c r="D10" s="21">
        <f>(Av_algas!$E$16)*8</f>
        <v>164304</v>
      </c>
      <c r="E10" s="21">
        <f>(Av_algas!$E$16)*12</f>
        <v>246456</v>
      </c>
      <c r="F10" s="21">
        <f>(Av_algas!$E$16)*12</f>
        <v>246456</v>
      </c>
      <c r="G10" s="21">
        <f>(Av_algas!$E$16)*12</f>
        <v>246456</v>
      </c>
    </row>
    <row r="11" spans="1:7" x14ac:dyDescent="0.25">
      <c r="A11" s="16" t="s">
        <v>18</v>
      </c>
      <c r="B11" s="74" t="s">
        <v>19</v>
      </c>
      <c r="C11" s="17"/>
      <c r="D11" s="18">
        <f t="shared" ref="D11:G11" si="4">SUM(D12:D14)</f>
        <v>73936</v>
      </c>
      <c r="E11" s="18">
        <f t="shared" si="4"/>
        <v>110906</v>
      </c>
      <c r="F11" s="18">
        <f t="shared" si="4"/>
        <v>110906</v>
      </c>
      <c r="G11" s="18">
        <f t="shared" si="4"/>
        <v>110906</v>
      </c>
    </row>
    <row r="12" spans="1:7" ht="54" customHeight="1" x14ac:dyDescent="0.25">
      <c r="A12" s="22" t="s">
        <v>20</v>
      </c>
      <c r="B12" s="24" t="s">
        <v>55</v>
      </c>
      <c r="C12" s="70" t="s">
        <v>63</v>
      </c>
      <c r="D12" s="21">
        <f t="shared" ref="D12:G12" si="5">ROUND(D10*0.25,0)</f>
        <v>41076</v>
      </c>
      <c r="E12" s="21">
        <f t="shared" si="5"/>
        <v>61614</v>
      </c>
      <c r="F12" s="21">
        <f t="shared" si="5"/>
        <v>61614</v>
      </c>
      <c r="G12" s="21">
        <f t="shared" si="5"/>
        <v>61614</v>
      </c>
    </row>
    <row r="13" spans="1:7" ht="22.5" customHeight="1" x14ac:dyDescent="0.25">
      <c r="A13" s="22" t="s">
        <v>18</v>
      </c>
      <c r="B13" s="24" t="s">
        <v>21</v>
      </c>
      <c r="C13" s="23" t="s">
        <v>22</v>
      </c>
      <c r="D13" s="21">
        <f>ROUND((D9*0.1),0)</f>
        <v>16430</v>
      </c>
      <c r="E13" s="21">
        <f t="shared" ref="E13:G13" si="6">ROUND((E9*0.1),0)</f>
        <v>24646</v>
      </c>
      <c r="F13" s="21">
        <f t="shared" si="6"/>
        <v>24646</v>
      </c>
      <c r="G13" s="21">
        <f t="shared" si="6"/>
        <v>24646</v>
      </c>
    </row>
    <row r="14" spans="1:7" ht="27" customHeight="1" x14ac:dyDescent="0.25">
      <c r="A14" s="25" t="s">
        <v>23</v>
      </c>
      <c r="B14" s="24" t="s">
        <v>24</v>
      </c>
      <c r="C14" s="23" t="s">
        <v>22</v>
      </c>
      <c r="D14" s="21">
        <f>ROUND((D9*0.1),0)</f>
        <v>16430</v>
      </c>
      <c r="E14" s="21">
        <f t="shared" ref="E14:G14" si="7">ROUND((E9*0.1),0)</f>
        <v>24646</v>
      </c>
      <c r="F14" s="21">
        <f t="shared" si="7"/>
        <v>24646</v>
      </c>
      <c r="G14" s="21">
        <f t="shared" si="7"/>
        <v>24646</v>
      </c>
    </row>
    <row r="15" spans="1:7" ht="32.25" customHeight="1" x14ac:dyDescent="0.25">
      <c r="A15" s="12" t="s">
        <v>25</v>
      </c>
      <c r="B15" s="26" t="s">
        <v>26</v>
      </c>
      <c r="C15" s="27"/>
      <c r="D15" s="15">
        <f t="shared" ref="D15" si="8">SUM(D16:D18)</f>
        <v>71194</v>
      </c>
      <c r="E15" s="15">
        <f t="shared" ref="E15:F15" si="9">SUM(E16:E18)</f>
        <v>104372</v>
      </c>
      <c r="F15" s="15">
        <f t="shared" si="9"/>
        <v>104372</v>
      </c>
      <c r="G15" s="15">
        <f>SUM(G16:G18)</f>
        <v>104372</v>
      </c>
    </row>
    <row r="16" spans="1:7" ht="27.6" customHeight="1" x14ac:dyDescent="0.25">
      <c r="A16" s="28" t="s">
        <v>27</v>
      </c>
      <c r="B16" s="29" t="s">
        <v>62</v>
      </c>
      <c r="C16" s="23" t="s">
        <v>28</v>
      </c>
      <c r="D16" s="21">
        <f>ROUND(((D8+D17)*0.2359),0)</f>
        <v>58139</v>
      </c>
      <c r="E16" s="21">
        <f t="shared" ref="E16:G16" si="10">ROUND(((E8+E17)*0.2359),0)</f>
        <v>87209</v>
      </c>
      <c r="F16" s="21">
        <f t="shared" si="10"/>
        <v>87209</v>
      </c>
      <c r="G16" s="21">
        <f t="shared" si="10"/>
        <v>87209</v>
      </c>
    </row>
    <row r="17" spans="1:7" ht="30.75" customHeight="1" x14ac:dyDescent="0.25">
      <c r="A17" s="25" t="s">
        <v>29</v>
      </c>
      <c r="B17" s="30" t="s">
        <v>30</v>
      </c>
      <c r="C17" s="23" t="s">
        <v>31</v>
      </c>
      <c r="D17" s="31">
        <f>ROUND(D9*0.05,0)</f>
        <v>8215</v>
      </c>
      <c r="E17" s="31">
        <f t="shared" ref="E17:G17" si="11">ROUND(E9*0.05,0)</f>
        <v>12323</v>
      </c>
      <c r="F17" s="31">
        <f t="shared" si="11"/>
        <v>12323</v>
      </c>
      <c r="G17" s="31">
        <f t="shared" si="11"/>
        <v>12323</v>
      </c>
    </row>
    <row r="18" spans="1:7" ht="63.75" x14ac:dyDescent="0.25">
      <c r="A18" s="25" t="s">
        <v>32</v>
      </c>
      <c r="B18" s="30" t="s">
        <v>49</v>
      </c>
      <c r="C18" s="32" t="s">
        <v>67</v>
      </c>
      <c r="D18" s="21">
        <f>(242)*D28</f>
        <v>4840</v>
      </c>
      <c r="E18" s="21">
        <f>(242)*E28</f>
        <v>4840</v>
      </c>
      <c r="F18" s="21">
        <f>(242)*F28</f>
        <v>4840</v>
      </c>
      <c r="G18" s="21">
        <f>(242)*G28</f>
        <v>4840</v>
      </c>
    </row>
    <row r="19" spans="1:7" ht="31.5" x14ac:dyDescent="0.25">
      <c r="A19" s="33" t="s">
        <v>33</v>
      </c>
      <c r="B19" s="34" t="s">
        <v>34</v>
      </c>
      <c r="C19" s="35"/>
      <c r="D19" s="36">
        <f>SUM(D20:D21)</f>
        <v>36800</v>
      </c>
      <c r="E19" s="36">
        <f t="shared" ref="E19:G19" si="12">SUM(E20:E21)</f>
        <v>52800</v>
      </c>
      <c r="F19" s="36">
        <f t="shared" si="12"/>
        <v>52800</v>
      </c>
      <c r="G19" s="36">
        <f t="shared" si="12"/>
        <v>52800</v>
      </c>
    </row>
    <row r="20" spans="1:7" ht="38.25" x14ac:dyDescent="0.25">
      <c r="A20" s="37" t="s">
        <v>33</v>
      </c>
      <c r="B20" s="25" t="s">
        <v>51</v>
      </c>
      <c r="C20" s="38" t="s">
        <v>64</v>
      </c>
      <c r="D20" s="39">
        <f>20*D28*8</f>
        <v>3200</v>
      </c>
      <c r="E20" s="39">
        <f>20*E28*12</f>
        <v>4800</v>
      </c>
      <c r="F20" s="39">
        <f>20*F28*12</f>
        <v>4800</v>
      </c>
      <c r="G20" s="39">
        <f>20*G28*12</f>
        <v>4800</v>
      </c>
    </row>
    <row r="21" spans="1:7" ht="63.75" x14ac:dyDescent="0.25">
      <c r="A21" s="37" t="s">
        <v>33</v>
      </c>
      <c r="B21" s="37" t="s">
        <v>50</v>
      </c>
      <c r="C21" s="38" t="s">
        <v>65</v>
      </c>
      <c r="D21" s="39">
        <f>210*D28*8</f>
        <v>33600</v>
      </c>
      <c r="E21" s="39">
        <f>200*E28*12</f>
        <v>48000</v>
      </c>
      <c r="F21" s="39">
        <f t="shared" ref="F21:G21" si="13">200*F28*12</f>
        <v>48000</v>
      </c>
      <c r="G21" s="39">
        <f t="shared" si="13"/>
        <v>48000</v>
      </c>
    </row>
    <row r="22" spans="1:7" ht="15.75" x14ac:dyDescent="0.25">
      <c r="A22" s="41" t="s">
        <v>35</v>
      </c>
      <c r="B22" s="34" t="s">
        <v>36</v>
      </c>
      <c r="C22" s="42"/>
      <c r="D22" s="11">
        <f>D23+D25</f>
        <v>41800</v>
      </c>
      <c r="E22" s="11">
        <f>E23+E25</f>
        <v>0</v>
      </c>
      <c r="F22" s="11">
        <f>F23+F25</f>
        <v>0</v>
      </c>
      <c r="G22" s="11">
        <f>G23+G25</f>
        <v>0</v>
      </c>
    </row>
    <row r="23" spans="1:7" ht="31.5" x14ac:dyDescent="0.25">
      <c r="A23" s="12" t="s">
        <v>33</v>
      </c>
      <c r="B23" s="43" t="s">
        <v>37</v>
      </c>
      <c r="C23" s="44"/>
      <c r="D23" s="15">
        <f>SUM(D24:D24)</f>
        <v>21800</v>
      </c>
      <c r="E23" s="15">
        <f t="shared" ref="E23:G23" si="14">SUM(E24:E24)</f>
        <v>0</v>
      </c>
      <c r="F23" s="15">
        <f t="shared" si="14"/>
        <v>0</v>
      </c>
      <c r="G23" s="15">
        <f t="shared" si="14"/>
        <v>0</v>
      </c>
    </row>
    <row r="24" spans="1:7" ht="63.75" x14ac:dyDescent="0.25">
      <c r="A24" s="45" t="s">
        <v>38</v>
      </c>
      <c r="B24" s="40" t="s">
        <v>52</v>
      </c>
      <c r="C24" s="23" t="s">
        <v>68</v>
      </c>
      <c r="D24" s="21">
        <f>1090*D28</f>
        <v>21800</v>
      </c>
      <c r="E24" s="21"/>
      <c r="F24" s="21"/>
      <c r="G24" s="21"/>
    </row>
    <row r="25" spans="1:7" ht="31.5" x14ac:dyDescent="0.25">
      <c r="A25" s="46" t="s">
        <v>39</v>
      </c>
      <c r="B25" s="78" t="s">
        <v>40</v>
      </c>
      <c r="C25" s="47"/>
      <c r="D25" s="15">
        <f t="shared" ref="D25:G25" si="15">SUM(D26:D26)</f>
        <v>20000</v>
      </c>
      <c r="E25" s="15">
        <f t="shared" si="15"/>
        <v>0</v>
      </c>
      <c r="F25" s="15">
        <f t="shared" si="15"/>
        <v>0</v>
      </c>
      <c r="G25" s="15">
        <f t="shared" si="15"/>
        <v>0</v>
      </c>
    </row>
    <row r="26" spans="1:7" ht="38.25" x14ac:dyDescent="0.25">
      <c r="A26" s="22" t="s">
        <v>41</v>
      </c>
      <c r="B26" s="69" t="s">
        <v>61</v>
      </c>
      <c r="C26" s="23" t="s">
        <v>69</v>
      </c>
      <c r="D26" s="21">
        <f>1000*D28</f>
        <v>20000</v>
      </c>
      <c r="E26" s="21"/>
      <c r="F26" s="21"/>
      <c r="G26" s="21"/>
    </row>
    <row r="27" spans="1:7" s="51" customFormat="1" x14ac:dyDescent="0.25">
      <c r="A27" s="48"/>
      <c r="B27" s="40"/>
      <c r="C27" s="49"/>
      <c r="D27" s="50"/>
      <c r="E27" s="50"/>
      <c r="F27" s="50"/>
      <c r="G27" s="50"/>
    </row>
    <row r="28" spans="1:7" s="51" customFormat="1" ht="31.5" x14ac:dyDescent="0.25">
      <c r="A28" s="52"/>
      <c r="B28" s="53" t="s">
        <v>42</v>
      </c>
      <c r="C28" s="54"/>
      <c r="D28" s="55">
        <f>Av_algas!B16</f>
        <v>20</v>
      </c>
      <c r="E28" s="55">
        <f>Av_algas!B16</f>
        <v>20</v>
      </c>
      <c r="F28" s="55">
        <f>Av_algas!B16</f>
        <v>20</v>
      </c>
      <c r="G28" s="55">
        <f>Av_algas!B16</f>
        <v>20</v>
      </c>
    </row>
    <row r="29" spans="1:7" s="51" customFormat="1" ht="15.75" x14ac:dyDescent="0.25">
      <c r="A29" s="56" t="s">
        <v>11</v>
      </c>
      <c r="B29" s="53" t="s">
        <v>12</v>
      </c>
      <c r="C29" s="57"/>
      <c r="D29" s="58">
        <f t="shared" ref="D29:G29" si="16">D30+D31</f>
        <v>309434</v>
      </c>
      <c r="E29" s="58">
        <f t="shared" si="16"/>
        <v>461734</v>
      </c>
      <c r="F29" s="58">
        <f t="shared" si="16"/>
        <v>461734</v>
      </c>
      <c r="G29" s="58">
        <f t="shared" si="16"/>
        <v>461734</v>
      </c>
    </row>
    <row r="30" spans="1:7" s="51" customFormat="1" ht="15.75" x14ac:dyDescent="0.25">
      <c r="A30" s="56" t="s">
        <v>13</v>
      </c>
      <c r="B30" s="53" t="s">
        <v>14</v>
      </c>
      <c r="C30" s="59"/>
      <c r="D30" s="58">
        <f>D8</f>
        <v>238240</v>
      </c>
      <c r="E30" s="58">
        <f>E8</f>
        <v>357362</v>
      </c>
      <c r="F30" s="58">
        <f>F8</f>
        <v>357362</v>
      </c>
      <c r="G30" s="58">
        <f>G8</f>
        <v>357362</v>
      </c>
    </row>
    <row r="31" spans="1:7" s="51" customFormat="1" ht="40.5" hidden="1" x14ac:dyDescent="0.25">
      <c r="A31" s="60" t="s">
        <v>25</v>
      </c>
      <c r="B31" s="61" t="s">
        <v>26</v>
      </c>
      <c r="C31" s="62"/>
      <c r="D31" s="63">
        <f>D15</f>
        <v>71194</v>
      </c>
      <c r="E31" s="63">
        <f>E15</f>
        <v>104372</v>
      </c>
      <c r="F31" s="63">
        <f>F15</f>
        <v>104372</v>
      </c>
      <c r="G31" s="63">
        <f>G15</f>
        <v>104372</v>
      </c>
    </row>
    <row r="32" spans="1:7" s="51" customFormat="1" ht="31.5" x14ac:dyDescent="0.25">
      <c r="A32" s="56" t="s">
        <v>33</v>
      </c>
      <c r="B32" s="53" t="s">
        <v>43</v>
      </c>
      <c r="C32" s="57"/>
      <c r="D32" s="58">
        <f>D19+D23</f>
        <v>58600</v>
      </c>
      <c r="E32" s="58">
        <f>E19+E23</f>
        <v>52800</v>
      </c>
      <c r="F32" s="58">
        <f>F19+F23</f>
        <v>52800</v>
      </c>
      <c r="G32" s="58">
        <f>G19+G23</f>
        <v>52800</v>
      </c>
    </row>
    <row r="33" spans="1:7" s="51" customFormat="1" ht="15.75" x14ac:dyDescent="0.25">
      <c r="A33" s="56" t="s">
        <v>39</v>
      </c>
      <c r="B33" s="75" t="s">
        <v>44</v>
      </c>
      <c r="C33" s="57"/>
      <c r="D33" s="58">
        <f t="shared" ref="D33:G33" si="17">D25</f>
        <v>20000</v>
      </c>
      <c r="E33" s="58">
        <f t="shared" si="17"/>
        <v>0</v>
      </c>
      <c r="F33" s="58">
        <f t="shared" si="17"/>
        <v>0</v>
      </c>
      <c r="G33" s="58">
        <f t="shared" si="17"/>
        <v>0</v>
      </c>
    </row>
    <row r="34" spans="1:7" s="51" customFormat="1" ht="15.75" x14ac:dyDescent="0.25">
      <c r="A34" s="64"/>
      <c r="B34" s="76" t="s">
        <v>45</v>
      </c>
      <c r="C34" s="57"/>
      <c r="D34" s="65">
        <f t="shared" ref="D34:G34" si="18">D29+D32+D33</f>
        <v>388034</v>
      </c>
      <c r="E34" s="65">
        <f t="shared" si="18"/>
        <v>514534</v>
      </c>
      <c r="F34" s="65">
        <f t="shared" si="18"/>
        <v>514534</v>
      </c>
      <c r="G34" s="65">
        <f t="shared" si="18"/>
        <v>514534</v>
      </c>
    </row>
    <row r="35" spans="1:7" s="51" customFormat="1" hidden="1" x14ac:dyDescent="0.25">
      <c r="B35" s="77"/>
      <c r="D35" s="66">
        <f>D34-D5</f>
        <v>0</v>
      </c>
      <c r="E35" s="66">
        <f>E34-E5</f>
        <v>0</v>
      </c>
      <c r="F35" s="66">
        <f>F34-F5</f>
        <v>0</v>
      </c>
      <c r="G35" s="66">
        <f>G34-G5</f>
        <v>0</v>
      </c>
    </row>
    <row r="39" spans="1:7" x14ac:dyDescent="0.25">
      <c r="A39" s="2" t="s">
        <v>73</v>
      </c>
      <c r="C39" s="2" t="s">
        <v>75</v>
      </c>
    </row>
    <row r="40" spans="1:7" x14ac:dyDescent="0.25">
      <c r="A40" s="2" t="s">
        <v>74</v>
      </c>
    </row>
    <row r="42" spans="1:7" x14ac:dyDescent="0.25">
      <c r="A42" s="2" t="s">
        <v>76</v>
      </c>
    </row>
    <row r="43" spans="1:7" x14ac:dyDescent="0.25">
      <c r="A43" s="2" t="s">
        <v>77</v>
      </c>
      <c r="C43" s="2" t="s">
        <v>78</v>
      </c>
    </row>
    <row r="46" spans="1:7" x14ac:dyDescent="0.25">
      <c r="A46" s="2" t="s">
        <v>79</v>
      </c>
    </row>
    <row r="47" spans="1:7" x14ac:dyDescent="0.25">
      <c r="A47" s="101" t="s">
        <v>80</v>
      </c>
    </row>
    <row r="49" spans="1:1" x14ac:dyDescent="0.25">
      <c r="A49" s="2" t="s">
        <v>81</v>
      </c>
    </row>
    <row r="50" spans="1:1" x14ac:dyDescent="0.25">
      <c r="A50" s="101" t="s">
        <v>82</v>
      </c>
    </row>
    <row r="52" spans="1:1" x14ac:dyDescent="0.25">
      <c r="A52" s="2" t="s">
        <v>83</v>
      </c>
    </row>
    <row r="53" spans="1:1" x14ac:dyDescent="0.25">
      <c r="A53" s="101" t="s">
        <v>84</v>
      </c>
    </row>
    <row r="55" spans="1:1" x14ac:dyDescent="0.25">
      <c r="A55" s="2" t="s">
        <v>85</v>
      </c>
    </row>
    <row r="56" spans="1:1" x14ac:dyDescent="0.25">
      <c r="A56" s="101" t="s">
        <v>86</v>
      </c>
    </row>
  </sheetData>
  <mergeCells count="6">
    <mergeCell ref="C1:G1"/>
    <mergeCell ref="A2:G2"/>
    <mergeCell ref="A3:A6"/>
    <mergeCell ref="B3:C4"/>
    <mergeCell ref="B5:C5"/>
    <mergeCell ref="B6:C6"/>
  </mergeCells>
  <hyperlinks>
    <hyperlink ref="A47" r:id="rId1" xr:uid="{6128A3CB-1491-4632-96BF-FAC8DD946044}"/>
    <hyperlink ref="A50" r:id="rId2" xr:uid="{529088B9-0C99-469A-9265-595EE1C40222}"/>
    <hyperlink ref="A53" r:id="rId3" xr:uid="{619B975C-C115-4F1C-B4CF-CBCE5E17CBD7}"/>
    <hyperlink ref="A56" r:id="rId4" xr:uid="{CFDD0395-FBF9-47BB-8EF1-0E09F5DF4C64}"/>
  </hyperlinks>
  <pageMargins left="0.70866141732283472" right="0.70866141732283472" top="0.74803149606299213" bottom="0.74803149606299213" header="0.31496062992125984" footer="0.31496062992125984"/>
  <pageSetup paperSize="9" scale="42" fitToHeight="0" orientation="landscape" r:id="rId5"/>
  <headerFooter>
    <oddFooter>&amp;C&amp;P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topLeftCell="A4" workbookViewId="0">
      <selection activeCell="F13" sqref="F13"/>
    </sheetView>
  </sheetViews>
  <sheetFormatPr defaultRowHeight="15" x14ac:dyDescent="0.25"/>
  <cols>
    <col min="1" max="1" width="11.85546875" customWidth="1"/>
    <col min="3" max="3" width="11.5703125" bestFit="1" customWidth="1"/>
    <col min="4" max="4" width="4.85546875" bestFit="1" customWidth="1"/>
    <col min="5" max="5" width="8.140625" style="79" bestFit="1" customWidth="1"/>
    <col min="6" max="6" width="8.5703125" style="79" bestFit="1" customWidth="1"/>
    <col min="7" max="7" width="11.85546875" bestFit="1" customWidth="1"/>
  </cols>
  <sheetData>
    <row r="1" spans="2:7" x14ac:dyDescent="0.25">
      <c r="B1" t="s">
        <v>57</v>
      </c>
      <c r="C1" t="s">
        <v>58</v>
      </c>
    </row>
    <row r="2" spans="2:7" x14ac:dyDescent="0.25">
      <c r="B2" s="1" t="s">
        <v>0</v>
      </c>
      <c r="C2" s="1">
        <v>1260</v>
      </c>
    </row>
    <row r="3" spans="2:7" x14ac:dyDescent="0.25">
      <c r="B3" s="1" t="s">
        <v>1</v>
      </c>
      <c r="C3" s="1">
        <v>1076</v>
      </c>
    </row>
    <row r="4" spans="2:7" x14ac:dyDescent="0.25">
      <c r="B4" s="1" t="s">
        <v>2</v>
      </c>
      <c r="C4" s="1">
        <v>1026</v>
      </c>
    </row>
    <row r="5" spans="2:7" x14ac:dyDescent="0.25">
      <c r="B5" s="1" t="s">
        <v>3</v>
      </c>
      <c r="C5" s="1">
        <v>976</v>
      </c>
    </row>
    <row r="6" spans="2:7" x14ac:dyDescent="0.25">
      <c r="B6" s="1" t="s">
        <v>4</v>
      </c>
      <c r="C6" s="1">
        <v>963</v>
      </c>
    </row>
    <row r="10" spans="2:7" x14ac:dyDescent="0.25">
      <c r="B10" t="s">
        <v>54</v>
      </c>
      <c r="G10" s="67"/>
    </row>
    <row r="11" spans="2:7" x14ac:dyDescent="0.25">
      <c r="B11" s="80" t="s">
        <v>59</v>
      </c>
      <c r="C11" s="80" t="s">
        <v>57</v>
      </c>
      <c r="D11" s="80" t="s">
        <v>60</v>
      </c>
      <c r="E11" s="81" t="s">
        <v>46</v>
      </c>
      <c r="F11" s="81" t="s">
        <v>47</v>
      </c>
      <c r="G11" s="67"/>
    </row>
    <row r="12" spans="2:7" x14ac:dyDescent="0.25">
      <c r="B12" s="82">
        <v>2</v>
      </c>
      <c r="C12" s="83" t="s">
        <v>0</v>
      </c>
      <c r="D12" s="84">
        <f>VLOOKUP(C12,$B$2:$C$6,2,FALSE)</f>
        <v>1260</v>
      </c>
      <c r="E12" s="85">
        <f>B12*D12</f>
        <v>2520</v>
      </c>
      <c r="F12" s="85">
        <f>E12*12</f>
        <v>30240</v>
      </c>
      <c r="G12" s="67"/>
    </row>
    <row r="13" spans="2:7" x14ac:dyDescent="0.25">
      <c r="B13" s="82">
        <v>3</v>
      </c>
      <c r="C13" s="83" t="s">
        <v>1</v>
      </c>
      <c r="D13" s="84">
        <f t="shared" ref="D13:D15" si="0">VLOOKUP(C13,$B$2:$C$6,2,FALSE)</f>
        <v>1076</v>
      </c>
      <c r="E13" s="85">
        <f t="shared" ref="E13:E15" si="1">B13*D13</f>
        <v>3228</v>
      </c>
      <c r="F13" s="85">
        <f t="shared" ref="F13:F15" si="2">E13*12</f>
        <v>38736</v>
      </c>
    </row>
    <row r="14" spans="2:7" x14ac:dyDescent="0.25">
      <c r="B14" s="86">
        <v>3</v>
      </c>
      <c r="C14" s="83" t="s">
        <v>2</v>
      </c>
      <c r="D14" s="84">
        <f t="shared" si="0"/>
        <v>1026</v>
      </c>
      <c r="E14" s="85">
        <f t="shared" si="1"/>
        <v>3078</v>
      </c>
      <c r="F14" s="85">
        <f t="shared" si="2"/>
        <v>36936</v>
      </c>
    </row>
    <row r="15" spans="2:7" x14ac:dyDescent="0.25">
      <c r="B15" s="82">
        <v>12</v>
      </c>
      <c r="C15" s="83" t="s">
        <v>3</v>
      </c>
      <c r="D15" s="84">
        <f t="shared" si="0"/>
        <v>976</v>
      </c>
      <c r="E15" s="85">
        <f t="shared" si="1"/>
        <v>11712</v>
      </c>
      <c r="F15" s="85">
        <f t="shared" si="2"/>
        <v>140544</v>
      </c>
    </row>
    <row r="16" spans="2:7" x14ac:dyDescent="0.25">
      <c r="B16" s="87">
        <f>SUM(B12:B15)</f>
        <v>20</v>
      </c>
      <c r="C16" s="84"/>
      <c r="D16" s="84"/>
      <c r="E16" s="85">
        <f>SUM(E12:E15)</f>
        <v>20538</v>
      </c>
      <c r="F16" s="85">
        <f>SUM(F12:F15)</f>
        <v>246456</v>
      </c>
    </row>
  </sheetData>
  <dataValidations count="1">
    <dataValidation type="list" allowBlank="1" showInputMessage="1" showErrorMessage="1" sqref="C12:C15" xr:uid="{00000000-0002-0000-0100-000000000000}">
      <formula1>$B$2:$B$6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E A A B Q S w M E F A A C A A g A u K 0 r U l h i 9 a q o A A A A + A A A A B I A H A B D b 2 5 m a W c v U G F j a 2 F n Z S 5 4 b W w g o h g A K K A U A A A A A A A A A A A A A A A A A A A A A A A A A A A A h Y 9 N D o I w F I S v Q r q n r 6 1 K l D z K w i 0 k J i b E L Y E K j V A M l J + 7 u f B I X k E S R d 2 5 n M k 3 y T e P 2 x 3 D q a 6 c Q b W d b k x A O G X E U S Z r c m 2 K g P T 2 7 G 5 J K P G Q Z p e 0 U M 4 M m 8 6 f O h 2 Q 0 t q r D z C O I x 1 X t G k L E I x x O M X R M S t V n b r a d D Y 1 m S K f V f 5 / R S Q m L x k p q M f p h u 8 E X X s c Y a k x 1 u a L i N m Y M o S f E v d 9 Z f t W y W p w o w R h i Q j v F / I J U E s D B B Q A A g A I A L i t K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r S t S m W u i 7 j 8 B A A C 9 A Q A A E w A c A E Z v c m 1 1 b G F z L 1 N l Y 3 R p b 2 4 x L m 0 g o h g A K K A U A A A A A A A A A A A A A A A A A A A A A A A A A A A A b V B N a w I x F L w v 7 H 8 I 6 U V h X e q 2 9 C I e x C p I P x B c 2 o M R e b o p h s 0 m S / I i t r I / p u f + j f Z / 9 b m 2 0 E N z S M L M m x n m e b l F Z Q 1 b n N / + I I 7 i y O / A y Y L d Q w 1 9 N m R a Y h w x O q O 9 R U / A 5 L C V O n 2 2 r t x Y W 3 a m S s t 0 b A 1 K g 7 7 D h X i q i 5 5 H 6 6 R Y 5 K P 8 c S L G x D j Q o D w j T w f o x V Q Z M D 6 w Y F i t w V g P B j w z t q A x c Z W 2 9 N d 7 W M v S G l s p T 5 L 5 n I U 3 X 4 J C e f p n l 1 n W o + t a 1 F A r X Q Q y T / f i F j A w Q A 1 e q v S g / Y F 3 E 2 a C 1 g l D F 2 Q 3 O X d p y 6 0 X O y m R G r X N j s s Z y m r I W 4 o n d 8 o U Q 9 5 O 8 F W z J F 9 Y / Y g v + A M o 8 / l B 2 0 B V e 0 4 O O W x o C 7 m j U i / W V W O r Q 2 X y 1 1 r 6 z p + o 5 H j k Z 4 o C G B L N U B 6 w S d g v n h E + M 3 h z n Z 7 E T d O N I 2 X + T x 1 8 A 1 B L A Q I t A B Q A A g A I A L i t K 1 J Y Y v W q q A A A A P g A A A A S A A A A A A A A A A A A A A A A A A A A A A B D b 2 5 m a W c v U G F j a 2 F n Z S 5 4 b W x Q S w E C L Q A U A A I A C A C 4 r S t S D 8 r p q 6 Q A A A D p A A A A E w A A A A A A A A A A A A A A A A D 0 A A A A W 0 N v b n R l b n R f V H l w Z X N d L n h t b F B L A Q I t A B Q A A g A I A L i t K 1 K Z a 6 L u P w E A A L 0 B A A A T A A A A A A A A A A A A A A A A A O U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E J A A A A A A A A L w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h c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Y X B h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x M V Q x O T o z M z o 1 O S 4 z N D A 4 M z k 2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F w Y T E v T W F p b s S r d H M g d G l w c y 5 7 Q 2 9 s d W 1 u M S w w f S Z x d W 9 0 O y w m c X V v d D t T Z W N 0 a W 9 u M S 9 M Y X B h M S 9 N Y W l u x K t 0 c y B 0 a X B z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x h c G E x L 0 1 h a W 7 E q 3 R z I H R p c H M u e 0 N v b H V t b j E s M H 0 m c X V v d D s s J n F 1 b 3 Q 7 U 2 V j d G l v b j E v T G F w Y T E v T W F p b s S r d H M g d G l w c y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F w Y T E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X B h M S 9 M Y X B h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h c G E x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0 + s e 4 T G C w 0 a + 9 k s n v 0 E O h Q A A A A A C A A A A A A A D Z g A A w A A A A B A A A A B L a y b K A X 4 c i k H / S c L J e k B A A A A A A A S A A A C g A A A A E A A A A F 2 I p Q 0 y U L z + W D V E x Y K Q f 7 1 Q A A A A G M g w X Z v z b 1 C y 7 h 0 s 3 W I q I c K v 9 P M L q w N I 5 s 1 D t d z K 8 0 c 1 A 2 w z 5 C 2 F G a Z M L e / 5 N O d j S E S q W E J I 9 A J f l M m 0 P 4 d O W D 5 6 b X y o f U L X w p s O t D C 2 v W 8 U A A A A n i B y n s j y Q 4 m r N Z Y / b 3 o 9 O O g q K h U = < / D a t a M a s h u p > 
</file>

<file path=customXml/itemProps1.xml><?xml version="1.0" encoding="utf-8"?>
<ds:datastoreItem xmlns:ds="http://schemas.openxmlformats.org/officeDocument/2006/customXml" ds:itemID="{865C4B76-FFC9-4C7F-9672-533795BFAA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20_a_v</vt:lpstr>
      <vt:lpstr>Av_algas</vt:lpstr>
      <vt:lpstr>'20_a_v'!Drukāt_virsrakstus</vt:lpstr>
    </vt:vector>
  </TitlesOfParts>
  <Company>Valsts Probācijas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Konceptuālais ziņojums "Par Darba likuma 131. panta trešās daļas piemērošanu Valsts probācijas dienesta nodarbinātajiem, kuru darbs ir saistīts ar īpašu risku"</dc:title>
  <dc:subject>Konceptuālais ziņojums</dc:subject>
  <dc:creator>Mihails Papsujevičs, Ilona Linde, Eduards Teifurovs, Georgijs Kasjanovs</dc:creator>
  <dc:description>67021100, Mihails.Papsujevics@vpd.gov.lv_x000d_
67021111, Ilona.Linde@vpd.gov.lv _x000d_
67244846, Eduards.Teifurovs@vpd.gov.lv_x000d_
67021193, Georgijs.Kasjanovs@vpd.gov.lv</dc:description>
  <cp:lastModifiedBy>Katrīne Ielīte</cp:lastModifiedBy>
  <dcterms:created xsi:type="dcterms:W3CDTF">2021-01-11T19:22:21Z</dcterms:created>
  <dcterms:modified xsi:type="dcterms:W3CDTF">2021-04-16T09:55:17Z</dcterms:modified>
</cp:coreProperties>
</file>