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Q:\KTD\(ULDIS)\KL DARBA GRUPA\BĒRNU UN SODU REFORMA\LIKUMPROJEKTI\"/>
    </mc:Choice>
  </mc:AlternateContent>
  <xr:revisionPtr revIDLastSave="0" documentId="8_{24563B54-85BD-44A7-A4A7-EB1E9D52BE01}" xr6:coauthVersionLast="38" xr6:coauthVersionMax="38" xr10:uidLastSave="{00000000-0000-0000-0000-000000000000}"/>
  <bookViews>
    <workbookView xWindow="0" yWindow="0" windowWidth="28800" windowHeight="10800" xr2:uid="{00000000-000D-0000-FFFF-FFFF00000000}"/>
  </bookViews>
  <sheets>
    <sheet name="KOPĀ" sheetId="3" r:id="rId1"/>
  </sheets>
  <definedNames>
    <definedName name="_xlnm.Print_Titles" localSheetId="0">KOPĀ!$3:$4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3" i="3" l="1"/>
  <c r="K34" i="3"/>
  <c r="K35" i="3"/>
  <c r="K36" i="3"/>
  <c r="K37" i="3"/>
  <c r="J46" i="3"/>
  <c r="I46" i="3"/>
  <c r="H46" i="3"/>
  <c r="G46" i="3"/>
  <c r="F46" i="3"/>
  <c r="F20" i="3" s="1"/>
  <c r="E46" i="3"/>
  <c r="E34" i="3" s="1"/>
  <c r="D46" i="3"/>
  <c r="E36" i="3" l="1"/>
  <c r="I36" i="3"/>
  <c r="H36" i="3" s="1"/>
  <c r="I34" i="3"/>
  <c r="H34" i="3" s="1"/>
  <c r="G34" i="3"/>
  <c r="G36" i="3"/>
  <c r="G44" i="3"/>
  <c r="F44" i="3" s="1"/>
  <c r="G40" i="3"/>
  <c r="F40" i="3" s="1"/>
  <c r="G35" i="3"/>
  <c r="F35" i="3" s="1"/>
  <c r="G18" i="3"/>
  <c r="G42" i="3"/>
  <c r="F42" i="3" s="1"/>
  <c r="G38" i="3"/>
  <c r="F38" i="3" s="1"/>
  <c r="G33" i="3"/>
  <c r="F33" i="3" s="1"/>
  <c r="G30" i="3"/>
  <c r="G28" i="3"/>
  <c r="G26" i="3"/>
  <c r="G24" i="3"/>
  <c r="G22" i="3"/>
  <c r="G20" i="3"/>
  <c r="G10" i="3"/>
  <c r="G9" i="3" s="1"/>
  <c r="G43" i="3"/>
  <c r="F43" i="3" s="1"/>
  <c r="G29" i="3"/>
  <c r="G25" i="3"/>
  <c r="G21" i="3"/>
  <c r="G12" i="3"/>
  <c r="G39" i="3"/>
  <c r="F39" i="3" s="1"/>
  <c r="F36" i="3"/>
  <c r="G37" i="3"/>
  <c r="F37" i="3" s="1"/>
  <c r="F34" i="3"/>
  <c r="G27" i="3"/>
  <c r="G23" i="3"/>
  <c r="I42" i="3"/>
  <c r="H42" i="3" s="1"/>
  <c r="I33" i="3"/>
  <c r="H33" i="3" s="1"/>
  <c r="I43" i="3"/>
  <c r="H43" i="3" s="1"/>
  <c r="I39" i="3"/>
  <c r="H39" i="3" s="1"/>
  <c r="I29" i="3"/>
  <c r="I27" i="3"/>
  <c r="I25" i="3"/>
  <c r="I23" i="3"/>
  <c r="I21" i="3"/>
  <c r="I12" i="3"/>
  <c r="I38" i="3"/>
  <c r="H38" i="3" s="1"/>
  <c r="I35" i="3"/>
  <c r="H35" i="3" s="1"/>
  <c r="I30" i="3"/>
  <c r="I26" i="3"/>
  <c r="I22" i="3"/>
  <c r="I40" i="3"/>
  <c r="H40" i="3" s="1"/>
  <c r="I37" i="3"/>
  <c r="H37" i="3" s="1"/>
  <c r="I18" i="3"/>
  <c r="I44" i="3"/>
  <c r="H44" i="3" s="1"/>
  <c r="I28" i="3"/>
  <c r="I24" i="3"/>
  <c r="I20" i="3"/>
  <c r="I10" i="3"/>
  <c r="I9" i="3" s="1"/>
  <c r="E43" i="3"/>
  <c r="D43" i="3" s="1"/>
  <c r="E39" i="3"/>
  <c r="D39" i="3" s="1"/>
  <c r="D34" i="3"/>
  <c r="E40" i="3"/>
  <c r="D40" i="3" s="1"/>
  <c r="E37" i="3"/>
  <c r="D37" i="3" s="1"/>
  <c r="E29" i="3"/>
  <c r="E27" i="3"/>
  <c r="E25" i="3"/>
  <c r="E23" i="3"/>
  <c r="E21" i="3"/>
  <c r="E12" i="3"/>
  <c r="D36" i="3"/>
  <c r="E33" i="3"/>
  <c r="D33" i="3" s="1"/>
  <c r="E28" i="3"/>
  <c r="E24" i="3"/>
  <c r="E20" i="3"/>
  <c r="E10" i="3"/>
  <c r="E9" i="3" s="1"/>
  <c r="E38" i="3"/>
  <c r="D38" i="3" s="1"/>
  <c r="E35" i="3"/>
  <c r="D35" i="3" s="1"/>
  <c r="E44" i="3"/>
  <c r="D44" i="3" s="1"/>
  <c r="E18" i="3"/>
  <c r="E42" i="3"/>
  <c r="D42" i="3" s="1"/>
  <c r="E30" i="3"/>
  <c r="E26" i="3"/>
  <c r="E22" i="3"/>
  <c r="K43" i="3"/>
  <c r="J43" i="3" s="1"/>
  <c r="J37" i="3"/>
  <c r="J34" i="3"/>
  <c r="K18" i="3"/>
  <c r="K44" i="3"/>
  <c r="J44" i="3" s="1"/>
  <c r="K40" i="3"/>
  <c r="J40" i="3" s="1"/>
  <c r="J35" i="3"/>
  <c r="K30" i="3"/>
  <c r="K28" i="3"/>
  <c r="K26" i="3"/>
  <c r="K24" i="3"/>
  <c r="K22" i="3"/>
  <c r="K20" i="3"/>
  <c r="K10" i="3"/>
  <c r="K9" i="3" s="1"/>
  <c r="K27" i="3"/>
  <c r="K23" i="3"/>
  <c r="J33" i="3"/>
  <c r="K39" i="3"/>
  <c r="J39" i="3" s="1"/>
  <c r="J36" i="3"/>
  <c r="K29" i="3"/>
  <c r="K25" i="3"/>
  <c r="K21" i="3"/>
  <c r="K12" i="3"/>
  <c r="K42" i="3"/>
  <c r="J42" i="3" s="1"/>
  <c r="K38" i="3"/>
  <c r="J38" i="3" s="1"/>
  <c r="J29" i="3"/>
  <c r="J27" i="3"/>
  <c r="J25" i="3"/>
  <c r="J23" i="3"/>
  <c r="J21" i="3"/>
  <c r="J12" i="3"/>
  <c r="J18" i="3"/>
  <c r="J22" i="3"/>
  <c r="J28" i="3"/>
  <c r="J24" i="3"/>
  <c r="J20" i="3"/>
  <c r="J10" i="3"/>
  <c r="J9" i="3" s="1"/>
  <c r="J30" i="3"/>
  <c r="J26" i="3"/>
  <c r="F29" i="3"/>
  <c r="F27" i="3"/>
  <c r="F25" i="3"/>
  <c r="F23" i="3"/>
  <c r="F21" i="3"/>
  <c r="F12" i="3"/>
  <c r="F18" i="3"/>
  <c r="F30" i="3"/>
  <c r="F26" i="3"/>
  <c r="F22" i="3"/>
  <c r="F28" i="3"/>
  <c r="F24" i="3"/>
  <c r="F10" i="3"/>
  <c r="F9" i="3" s="1"/>
  <c r="D30" i="3"/>
  <c r="D28" i="3"/>
  <c r="D26" i="3"/>
  <c r="D24" i="3"/>
  <c r="D22" i="3"/>
  <c r="D20" i="3"/>
  <c r="D10" i="3"/>
  <c r="D9" i="3" s="1"/>
  <c r="D18" i="3"/>
  <c r="D29" i="3"/>
  <c r="D25" i="3"/>
  <c r="D21" i="3"/>
  <c r="D12" i="3"/>
  <c r="D27" i="3"/>
  <c r="D23" i="3"/>
  <c r="H30" i="3"/>
  <c r="H28" i="3"/>
  <c r="H26" i="3"/>
  <c r="H24" i="3"/>
  <c r="H22" i="3"/>
  <c r="H20" i="3"/>
  <c r="H10" i="3"/>
  <c r="H9" i="3" s="1"/>
  <c r="H27" i="3"/>
  <c r="H23" i="3"/>
  <c r="H21" i="3"/>
  <c r="H18" i="3"/>
  <c r="H29" i="3"/>
  <c r="H25" i="3"/>
  <c r="H12" i="3"/>
  <c r="D41" i="3" l="1"/>
  <c r="D51" i="3" s="1"/>
  <c r="H19" i="3"/>
  <c r="G19" i="3"/>
  <c r="E19" i="3"/>
  <c r="F41" i="3"/>
  <c r="F51" i="3" s="1"/>
  <c r="E41" i="3"/>
  <c r="E51" i="3" s="1"/>
  <c r="H17" i="3"/>
  <c r="H13" i="3"/>
  <c r="H14" i="3"/>
  <c r="F14" i="3"/>
  <c r="F17" i="3"/>
  <c r="F13" i="3"/>
  <c r="J13" i="3"/>
  <c r="J17" i="3"/>
  <c r="J14" i="3"/>
  <c r="E13" i="3"/>
  <c r="E17" i="3"/>
  <c r="E14" i="3"/>
  <c r="D17" i="3"/>
  <c r="D14" i="3"/>
  <c r="D13" i="3"/>
  <c r="K17" i="3"/>
  <c r="K13" i="3"/>
  <c r="K14" i="3"/>
  <c r="I13" i="3"/>
  <c r="I17" i="3"/>
  <c r="I14" i="3"/>
  <c r="G17" i="3"/>
  <c r="G13" i="3"/>
  <c r="G14" i="3"/>
  <c r="K41" i="3"/>
  <c r="K51" i="3" s="1"/>
  <c r="I19" i="3"/>
  <c r="D19" i="3"/>
  <c r="J32" i="3"/>
  <c r="J41" i="3"/>
  <c r="J51" i="3" s="1"/>
  <c r="F32" i="3"/>
  <c r="G41" i="3"/>
  <c r="G51" i="3" s="1"/>
  <c r="K32" i="3"/>
  <c r="D32" i="3"/>
  <c r="D31" i="3" s="1"/>
  <c r="K19" i="3"/>
  <c r="E32" i="3"/>
  <c r="G32" i="3"/>
  <c r="J19" i="3"/>
  <c r="H41" i="3"/>
  <c r="H51" i="3" s="1"/>
  <c r="H32" i="3"/>
  <c r="I32" i="3"/>
  <c r="I41" i="3"/>
  <c r="I51" i="3" s="1"/>
  <c r="F19" i="3"/>
  <c r="E11" i="3" l="1"/>
  <c r="E8" i="3" s="1"/>
  <c r="E48" i="3" s="1"/>
  <c r="D50" i="3"/>
  <c r="F31" i="3"/>
  <c r="I11" i="3"/>
  <c r="I8" i="3" s="1"/>
  <c r="I48" i="3" s="1"/>
  <c r="G11" i="3"/>
  <c r="G8" i="3" s="1"/>
  <c r="G16" i="3" s="1"/>
  <c r="G15" i="3" s="1"/>
  <c r="G49" i="3" s="1"/>
  <c r="H11" i="3"/>
  <c r="H8" i="3" s="1"/>
  <c r="H16" i="3" s="1"/>
  <c r="H15" i="3" s="1"/>
  <c r="H49" i="3" s="1"/>
  <c r="J11" i="3"/>
  <c r="J8" i="3" s="1"/>
  <c r="J16" i="3" s="1"/>
  <c r="J15" i="3" s="1"/>
  <c r="E31" i="3"/>
  <c r="F11" i="3"/>
  <c r="F8" i="3" s="1"/>
  <c r="F48" i="3" s="1"/>
  <c r="K11" i="3"/>
  <c r="K8" i="3" s="1"/>
  <c r="K16" i="3" s="1"/>
  <c r="K15" i="3" s="1"/>
  <c r="K49" i="3" s="1"/>
  <c r="D11" i="3"/>
  <c r="D8" i="3" s="1"/>
  <c r="D16" i="3" s="1"/>
  <c r="D15" i="3" s="1"/>
  <c r="D49" i="3" s="1"/>
  <c r="G50" i="3"/>
  <c r="E16" i="3"/>
  <c r="E15" i="3" s="1"/>
  <c r="E49" i="3" s="1"/>
  <c r="E47" i="3" s="1"/>
  <c r="K31" i="3"/>
  <c r="J50" i="3"/>
  <c r="F50" i="3"/>
  <c r="K50" i="3"/>
  <c r="E50" i="3"/>
  <c r="H50" i="3"/>
  <c r="J31" i="3"/>
  <c r="G31" i="3"/>
  <c r="I31" i="3"/>
  <c r="I50" i="3"/>
  <c r="H31" i="3"/>
  <c r="G48" i="3"/>
  <c r="D48" i="3" l="1"/>
  <c r="I16" i="3"/>
  <c r="I15" i="3" s="1"/>
  <c r="I49" i="3" s="1"/>
  <c r="I47" i="3" s="1"/>
  <c r="I52" i="3" s="1"/>
  <c r="H48" i="3"/>
  <c r="H47" i="3" s="1"/>
  <c r="H52" i="3" s="1"/>
  <c r="K48" i="3"/>
  <c r="K47" i="3" s="1"/>
  <c r="K52" i="3" s="1"/>
  <c r="H7" i="3"/>
  <c r="H6" i="3" s="1"/>
  <c r="H5" i="3" s="1"/>
  <c r="D7" i="3"/>
  <c r="D6" i="3" s="1"/>
  <c r="D5" i="3" s="1"/>
  <c r="D47" i="3"/>
  <c r="D52" i="3" s="1"/>
  <c r="K7" i="3"/>
  <c r="K6" i="3" s="1"/>
  <c r="K5" i="3" s="1"/>
  <c r="F16" i="3"/>
  <c r="F15" i="3" s="1"/>
  <c r="F49" i="3" s="1"/>
  <c r="F47" i="3" s="1"/>
  <c r="F52" i="3" s="1"/>
  <c r="E52" i="3"/>
  <c r="I7" i="3"/>
  <c r="I6" i="3" s="1"/>
  <c r="I5" i="3" s="1"/>
  <c r="E7" i="3"/>
  <c r="E6" i="3" s="1"/>
  <c r="E5" i="3" s="1"/>
  <c r="J48" i="3"/>
  <c r="G47" i="3"/>
  <c r="G52" i="3" s="1"/>
  <c r="G7" i="3"/>
  <c r="G6" i="3" s="1"/>
  <c r="G5" i="3" s="1"/>
  <c r="D53" i="3" l="1"/>
  <c r="H53" i="3"/>
  <c r="J49" i="3"/>
  <c r="J47" i="3" s="1"/>
  <c r="J52" i="3" s="1"/>
  <c r="J7" i="3"/>
  <c r="J6" i="3" s="1"/>
  <c r="J5" i="3" s="1"/>
  <c r="F7" i="3"/>
  <c r="F6" i="3" s="1"/>
  <c r="F5" i="3" s="1"/>
  <c r="F53" i="3" s="1"/>
  <c r="J53" i="3" l="1"/>
</calcChain>
</file>

<file path=xl/sharedStrings.xml><?xml version="1.0" encoding="utf-8"?>
<sst xmlns="http://schemas.openxmlformats.org/spreadsheetml/2006/main" count="134" uniqueCount="104">
  <si>
    <t>EKK</t>
  </si>
  <si>
    <t>Kopā</t>
  </si>
  <si>
    <t>t.sk. jaunās a.v.</t>
  </si>
  <si>
    <t>KOPĀ IZDEVUMI</t>
  </si>
  <si>
    <t xml:space="preserve">Kārtējie izdevumi </t>
  </si>
  <si>
    <t>EKK 1000</t>
  </si>
  <si>
    <t xml:space="preserve">Atlīdzība kopā </t>
  </si>
  <si>
    <t>EKK 1100</t>
  </si>
  <si>
    <t xml:space="preserve">Atalgojums </t>
  </si>
  <si>
    <t>EKK 1110</t>
  </si>
  <si>
    <t xml:space="preserve">Mēneša amatalga </t>
  </si>
  <si>
    <t>EKK 1114</t>
  </si>
  <si>
    <t>EKK 1140</t>
  </si>
  <si>
    <t>Piemaksas</t>
  </si>
  <si>
    <t>EKK 1145</t>
  </si>
  <si>
    <t>Piemaksa ierēdnim, nodarbinātajam par bīstamību 25%</t>
  </si>
  <si>
    <t>EKK 1110 x 10 %</t>
  </si>
  <si>
    <t>EKK 1148</t>
  </si>
  <si>
    <t>EKK 1200</t>
  </si>
  <si>
    <t xml:space="preserve">Darba devēja  valsts sociālās apdrošināšanas obligātās iemaksas, sociāla rakstura pabalsti un kompensācijas      </t>
  </si>
  <si>
    <t>EKK 1210</t>
  </si>
  <si>
    <r>
      <t>Darba devēja VSAOI 24.09 %</t>
    </r>
    <r>
      <rPr>
        <b/>
        <sz val="10"/>
        <color indexed="8"/>
        <rFont val="Times New Roman"/>
        <family val="1"/>
        <charset val="186"/>
      </rPr>
      <t xml:space="preserve"> </t>
    </r>
  </si>
  <si>
    <t>saskaņā ar aprēķinu</t>
  </si>
  <si>
    <t>EKK 1220</t>
  </si>
  <si>
    <t>Sociālās garantijas 5 % apmērā no plānoto amata vietu (slodžu) skaitam plānotās mēnešalgu kopsummas attiecīgajā kalendāra gadā</t>
  </si>
  <si>
    <t>EKK 1110 x 5 %</t>
  </si>
  <si>
    <t>EKK 1227</t>
  </si>
  <si>
    <t>Darba devēja izdevumi veselības apdrošināšanai  (242 EUR - veselības apdrošināšanas polises vidējā tirgus vērtība vienam nodarbinatajam un 13 EUR - dzīvības un nelaimes gadījuma apdrošināšanai). Nodarbinātie veiks darbu kas pakļauts īpašam riskam.</t>
  </si>
  <si>
    <t>EKK 2000</t>
  </si>
  <si>
    <t xml:space="preserve">Kārtējie izdevumi precēm un pakalpojumiem </t>
  </si>
  <si>
    <t>EKK 2100</t>
  </si>
  <si>
    <t xml:space="preserve">Iekšzemes komandējumi un dienesta braucieni vienam darbiniekam viens brauciens uz Rīgu ceļa izdevumi 20 EUR, vidēji gadā 5 reizes </t>
  </si>
  <si>
    <t>EKK 2210</t>
  </si>
  <si>
    <t>Pasta, vietējo sakaru, mobilo sakaru un Interneta pakalpojumi</t>
  </si>
  <si>
    <t>EKK 2260</t>
  </si>
  <si>
    <t>Telpu noma 7 kv.m. uz 1 a.v.</t>
  </si>
  <si>
    <t>EKK 2220</t>
  </si>
  <si>
    <t>Izdevumi par apkuri 3 EUR/kv.m. mēnesī</t>
  </si>
  <si>
    <t xml:space="preserve">Izdevumi par elektroenerģiju, ūdeni un kanalizāciju </t>
  </si>
  <si>
    <t xml:space="preserve">EKK 2240 </t>
  </si>
  <si>
    <t>Iekārtas, inventāra un aparatūras remonts, tehniskā apkalpošana</t>
  </si>
  <si>
    <t xml:space="preserve">Telpu uzturēšanas izdevumi </t>
  </si>
  <si>
    <t xml:space="preserve">EKK 2250 </t>
  </si>
  <si>
    <t>Informācijas sistēmas uzturēšana</t>
  </si>
  <si>
    <t>EKK 2310</t>
  </si>
  <si>
    <t xml:space="preserve">Biroja preces (papīrs, toneri, mapes, pārējās kancelejas preces) </t>
  </si>
  <si>
    <t>EKK 2322</t>
  </si>
  <si>
    <t>Degviela braucieniem pa reģioniem</t>
  </si>
  <si>
    <t xml:space="preserve">EKK 2350 </t>
  </si>
  <si>
    <t xml:space="preserve">Kārtējā remonta un uzturēšanas materiāli </t>
  </si>
  <si>
    <t>EKK 2000; 5000</t>
  </si>
  <si>
    <t>Vienreizējie izdevumi</t>
  </si>
  <si>
    <t xml:space="preserve">Vienreizējie izdevumi precēm un pakalpojumiem </t>
  </si>
  <si>
    <t>EKK 2312</t>
  </si>
  <si>
    <t>Krēsls</t>
  </si>
  <si>
    <t>Dokumentu plaukts</t>
  </si>
  <si>
    <t>Apmeklētāju krēsls</t>
  </si>
  <si>
    <t>Printeris</t>
  </si>
  <si>
    <t>Tālruņa aparāts</t>
  </si>
  <si>
    <t>Galda lampa</t>
  </si>
  <si>
    <t>Monitors</t>
  </si>
  <si>
    <t>UPS</t>
  </si>
  <si>
    <t>EKK 5000</t>
  </si>
  <si>
    <t xml:space="preserve">Vienreizēji izdevumi pamatkapitāla veidošanai </t>
  </si>
  <si>
    <t>EKK 5230</t>
  </si>
  <si>
    <t>Sistēmbloks ar programmu nodrošinājumu</t>
  </si>
  <si>
    <t>Darba galds</t>
  </si>
  <si>
    <t>Matāla slēdzams dokumentu skapis</t>
  </si>
  <si>
    <t>Jaunas amata vietas (jauni darbinieki)</t>
  </si>
  <si>
    <t xml:space="preserve">Izdevumi pamatkapitāla veidošanai </t>
  </si>
  <si>
    <t>KOPĀ</t>
  </si>
  <si>
    <t>2022.gadā</t>
  </si>
  <si>
    <t>2023.gadā</t>
  </si>
  <si>
    <t>2024.gadā</t>
  </si>
  <si>
    <t>2025.gadā un turpmāk</t>
  </si>
  <si>
    <t>1.pielikums likumprojekta "Grozījumi Krimināllikumā" sākotnējās ietekmes novērtējuma ziņojumam (anotācijai)</t>
  </si>
  <si>
    <t>Probācijas speciālisti - funkciju veicēji (35.saime, II līmenis, 9. mēnešalgu grupa, 1190 EUR)</t>
  </si>
  <si>
    <t>Vispārējās piemaksas 10% apmērā no plānotās mēnešalgu kopsummas</t>
  </si>
  <si>
    <t>Prēmijas un naudas balvas 10% apmērā plānotās mēnešalgu kopsummas</t>
  </si>
  <si>
    <r>
      <t>2022.gadā 1190 EUR × 5 a. v. × 12 mēn.
2023.gadā 1190 EUR × 24 a. v.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× 12 mēn.
2024.gadā un turpmāk 1190 EUR × 43 a. v.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 xml:space="preserve">× 12 mēn. </t>
    </r>
  </si>
  <si>
    <t>2022.gadā 1190 EUR × 25% × 5 a. v. × 12 mēn.
2023.gadā 1190 EUR × 25% × 24 a. v. × 12 mēn.
2024.gadā un turpmāk 1190 EUR × 25% × 43 a. v. × 12 mēn.</t>
  </si>
  <si>
    <t>2022.gadā (242 EUR +13 EUR )× 5 a. v.
2023.gadā (242 EUR +13 EUR )× 24 a. v.
2024.gadā un turpmāk (242 EUR +13 EUR )× 43 a. v.</t>
  </si>
  <si>
    <t>2022.gadā 20 EUR x 5 reizes × 5 a. v.
2023.gadā 20 EUR x 5 reizes × 24 a. v.
2024.gadā un turpmāk 20 EUR x 5 reizes × 43 a. v.</t>
  </si>
  <si>
    <t xml:space="preserve">2022.gadā 20 EUR × 5 a. v. × 12 mēn.
2023.gadā 20 EUR × 24 a. v. × 12 mēn.
2024.gadā un turpmāk 20 EUR × 43 a. v. × 12 mēn. </t>
  </si>
  <si>
    <t xml:space="preserve">2022.gadā 12 EUR × 7 m2 × 5 a. v. × 12 mēn.
2023.gadā 12 EUR × 7 m2 × 24 a. v. × 12 mēn.
2024.gadā un turpmāk 12 EUR × 7 m2 × 43 a. v. × 12 mēn. </t>
  </si>
  <si>
    <t>2022.gadā 3 EUR × 7 m2 × 5 a. v. × 7 mēn.
2023.gadā 3 EUR × 7 m2 × 24 a. v. × 7 mēn.
2024.gadā un turpmāk 3 EUR × 7 m2 × 43 a. v. × 7 mēn.</t>
  </si>
  <si>
    <t>2022.gadā 16.50 EUR x 5 a.v. × 12 mēn.
2023.gadā 16.50 EUR x 24 a. v. × 12 mēn.
2024.gadā un turpmāk 16.50 EUR x 43 a. v. × 12 mēn.</t>
  </si>
  <si>
    <t>2022.gadā 5 EUR × 5 a. v. × 12 mēn.
2023.gadā 5 EUR × 24 a. v. × 12 mēn.
2024.gadā un turpmāk 5 EUR × 43 a. v. × 12 mēn.</t>
  </si>
  <si>
    <t>2022.gadā 15 EUR × 5 a. v. × 12 mēn.
2023.gadā 15 EUR × 24 a. v. × 12 mēn.
2024.gadā un turpmāk 15 EUR × 43 a. v. × 12 mēn.</t>
  </si>
  <si>
    <t>2022.gadā 10 EUR × 5 a. v. × 12 mēn.
2023.gadā 10 EUR × 24 a. v. × 12 mēn.
2024.gadā un turpmāk 10 EUR × 43 a. v. × 12 mēn.</t>
  </si>
  <si>
    <t>2022.gadā 300 km × 5 a. v. × 12 mēn.; 7.2 L/100km × 1,25 EUR
2023.gadā 300 km × 24 a. v. × 12 mēn.; 7.2 L/100km × 1,25 EUR
2024.gadā un turpmāk 300 km × 43 a. v. × 12 mēn.; 7.2 L/100km × 1,25 EUR</t>
  </si>
  <si>
    <t>2022.gadā 8 EUR × 5 a. v. × 12 mēn.
2023.gadā 8 EUR × 24 a. v. × 12 mēn.
2024.gadā un turpmāk  8 EUR × 43 a. v. × 12 mēn.</t>
  </si>
  <si>
    <t>Detalizēts aprēķins (Grozījumi Krimināllikumā)</t>
  </si>
  <si>
    <t>Kārtējie izdevumi precēm un pakalpojumiem</t>
  </si>
  <si>
    <t>2022.gadā 150 EUR × 5 vien.
2023.gadā 150 EUR × 19 vien.
2024.gadā 150 EUR × 19 vien.</t>
  </si>
  <si>
    <t xml:space="preserve">2022.gadā 175 EUR × 3 vien.
2023.gadā 175 EUR × 10 vien. 
2024.gadā 175 EUR × 10 vien. </t>
  </si>
  <si>
    <t>2022.gadā 60 EUR × 5 vien.
2023.gadā 60 EUR × 19 vien.
2024.gadā 60 EUR × 19 vien.</t>
  </si>
  <si>
    <t>2022.gadā 145 EUR × 3 vien. 
2023.gadā 145 EUR × 10 vien. 
2024.gadā 145 EUR × 10 vien.</t>
  </si>
  <si>
    <t>2022.gadā 115 EUR × 5 vien.
2023.gadā 115 EUR × 19 vien.
2024.gadā 115 EUR × 19 vien.</t>
  </si>
  <si>
    <t>2022.gadā 30 EUR × 5 vien..
2023.gadā 30 EUR × 19 vien.
2024.gadā 30 EUR × 19 vien.</t>
  </si>
  <si>
    <t>2022.gadā 70 EUR × 5 vien.
2023.gadā 70 EUR × 19 vien.
2024.gadā 70 EUR × 19 vien.</t>
  </si>
  <si>
    <t>2022.gadā 740 EUR × 5vien.
2023.gadā 740 EUR × 19 vien.
2024.gadā 740 EUR × 19 vien.</t>
  </si>
  <si>
    <t>2022.gadā 315 EUR × 5 vien.
2023.gadā 315 EUR × 19 vien.
2024.gadā 315 EUR × 19 vien.</t>
  </si>
  <si>
    <t>2022.gadā 300 EUR × 5 vien.
2023.gadā 300 EUR × 19 vien.
2024.gadā 300 EUR × 19 vien.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</si>
</sst>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u/>
      <sz val="12"/>
      <color indexed="8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4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rgb="FF0070C0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b/>
      <i/>
      <u/>
      <sz val="12"/>
      <color rgb="FF0070C0"/>
      <name val="Times New Roman"/>
      <family val="1"/>
      <charset val="186"/>
    </font>
    <font>
      <b/>
      <i/>
      <sz val="9"/>
      <color rgb="FF0070C0"/>
      <name val="Times New Roman"/>
      <family val="1"/>
      <charset val="186"/>
    </font>
    <font>
      <b/>
      <i/>
      <sz val="12"/>
      <color rgb="FF0070C0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1"/>
      <color rgb="FF0070C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right" vertical="center"/>
    </xf>
    <xf numFmtId="0" fontId="3" fillId="3" borderId="0" xfId="0" applyFont="1" applyFill="1" applyBorder="1"/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/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 wrapText="1"/>
    </xf>
    <xf numFmtId="3" fontId="3" fillId="4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right" vertical="top"/>
    </xf>
    <xf numFmtId="0" fontId="8" fillId="0" borderId="7" xfId="0" applyFont="1" applyFill="1" applyBorder="1" applyAlignment="1">
      <alignment vertical="top"/>
    </xf>
    <xf numFmtId="0" fontId="8" fillId="0" borderId="7" xfId="0" applyFont="1" applyFill="1" applyBorder="1" applyAlignment="1">
      <alignment horizontal="justify" vertical="top"/>
    </xf>
    <xf numFmtId="0" fontId="8" fillId="0" borderId="0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3" fontId="8" fillId="0" borderId="7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3" fillId="3" borderId="4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3" fontId="9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3" fillId="3" borderId="2" xfId="0" applyFont="1" applyFill="1" applyBorder="1" applyAlignment="1">
      <alignment wrapText="1"/>
    </xf>
    <xf numFmtId="0" fontId="9" fillId="3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3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vertical="top" wrapText="1"/>
    </xf>
    <xf numFmtId="0" fontId="2" fillId="0" borderId="0" xfId="0" applyFont="1"/>
    <xf numFmtId="0" fontId="13" fillId="0" borderId="2" xfId="0" applyFont="1" applyFill="1" applyBorder="1"/>
    <xf numFmtId="0" fontId="5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/>
    <xf numFmtId="3" fontId="5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/>
    <xf numFmtId="0" fontId="10" fillId="0" borderId="3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/>
    <xf numFmtId="0" fontId="10" fillId="0" borderId="9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3" fontId="14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3" fontId="15" fillId="0" borderId="2" xfId="0" applyNumberFormat="1" applyFont="1" applyFill="1" applyBorder="1" applyAlignment="1">
      <alignment horizontal="center"/>
    </xf>
    <xf numFmtId="3" fontId="16" fillId="0" borderId="0" xfId="0" applyNumberFormat="1" applyFont="1"/>
    <xf numFmtId="3" fontId="18" fillId="0" borderId="2" xfId="0" applyNumberFormat="1" applyFont="1" applyFill="1" applyBorder="1" applyAlignment="1">
      <alignment horizontal="right" vertical="top"/>
    </xf>
    <xf numFmtId="3" fontId="19" fillId="0" borderId="2" xfId="0" applyNumberFormat="1" applyFont="1" applyFill="1" applyBorder="1" applyAlignment="1">
      <alignment horizontal="right" vertical="top"/>
    </xf>
    <xf numFmtId="3" fontId="18" fillId="0" borderId="2" xfId="0" applyNumberFormat="1" applyFont="1" applyFill="1" applyBorder="1" applyAlignment="1">
      <alignment horizontal="right" vertical="center"/>
    </xf>
    <xf numFmtId="3" fontId="18" fillId="3" borderId="6" xfId="0" applyNumberFormat="1" applyFont="1" applyFill="1" applyBorder="1" applyAlignment="1">
      <alignment horizontal="right" vertical="center"/>
    </xf>
    <xf numFmtId="3" fontId="18" fillId="4" borderId="2" xfId="0" applyNumberFormat="1" applyFont="1" applyFill="1" applyBorder="1" applyAlignment="1">
      <alignment horizontal="right" vertical="center"/>
    </xf>
    <xf numFmtId="3" fontId="19" fillId="0" borderId="7" xfId="0" applyNumberFormat="1" applyFont="1" applyFill="1" applyBorder="1" applyAlignment="1">
      <alignment horizontal="right" vertical="top"/>
    </xf>
    <xf numFmtId="3" fontId="18" fillId="3" borderId="2" xfId="0" applyNumberFormat="1" applyFont="1" applyFill="1" applyBorder="1" applyAlignment="1">
      <alignment horizontal="right" vertical="center"/>
    </xf>
    <xf numFmtId="3" fontId="18" fillId="3" borderId="4" xfId="0" applyNumberFormat="1" applyFont="1" applyFill="1" applyBorder="1" applyAlignment="1">
      <alignment horizontal="right" vertical="center"/>
    </xf>
    <xf numFmtId="3" fontId="19" fillId="0" borderId="2" xfId="0" applyNumberFormat="1" applyFont="1" applyFill="1" applyBorder="1" applyAlignment="1">
      <alignment horizontal="right" vertical="center"/>
    </xf>
    <xf numFmtId="3" fontId="19" fillId="0" borderId="2" xfId="0" applyNumberFormat="1" applyFont="1" applyFill="1" applyBorder="1" applyAlignment="1">
      <alignment horizontal="right" vertical="center" wrapText="1"/>
    </xf>
    <xf numFmtId="3" fontId="20" fillId="2" borderId="2" xfId="0" applyNumberFormat="1" applyFont="1" applyFill="1" applyBorder="1" applyAlignment="1">
      <alignment horizontal="center" vertical="top" wrapText="1"/>
    </xf>
    <xf numFmtId="3" fontId="18" fillId="2" borderId="2" xfId="0" applyNumberFormat="1" applyFont="1" applyFill="1" applyBorder="1"/>
    <xf numFmtId="3" fontId="21" fillId="2" borderId="2" xfId="0" applyNumberFormat="1" applyFont="1" applyFill="1" applyBorder="1" applyAlignment="1">
      <alignment horizontal="right"/>
    </xf>
    <xf numFmtId="3" fontId="22" fillId="2" borderId="2" xfId="0" applyNumberFormat="1" applyFont="1" applyFill="1" applyBorder="1" applyAlignment="1">
      <alignment horizontal="center"/>
    </xf>
    <xf numFmtId="3" fontId="23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wrapText="1"/>
    </xf>
    <xf numFmtId="3" fontId="19" fillId="0" borderId="2" xfId="0" applyNumberFormat="1" applyFont="1" applyFill="1" applyBorder="1" applyAlignment="1">
      <alignment vertical="top" wrapText="1"/>
    </xf>
    <xf numFmtId="0" fontId="23" fillId="0" borderId="0" xfId="0" applyFont="1" applyFill="1"/>
    <xf numFmtId="0" fontId="23" fillId="0" borderId="0" xfId="0" applyFont="1"/>
    <xf numFmtId="3" fontId="24" fillId="0" borderId="4" xfId="0" applyNumberFormat="1" applyFont="1" applyFill="1" applyBorder="1" applyAlignment="1">
      <alignment horizontal="right" vertical="center"/>
    </xf>
    <xf numFmtId="3" fontId="24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zoomScale="70" zoomScaleNormal="70" workbookViewId="0">
      <selection activeCell="D47" sqref="D47"/>
    </sheetView>
  </sheetViews>
  <sheetFormatPr defaultRowHeight="15" x14ac:dyDescent="0.25"/>
  <cols>
    <col min="1" max="1" width="19.28515625" style="1" customWidth="1"/>
    <col min="2" max="2" width="59.28515625" style="1" customWidth="1"/>
    <col min="3" max="3" width="78.28515625" style="1" bestFit="1" customWidth="1"/>
    <col min="4" max="4" width="11.85546875" style="1" customWidth="1"/>
    <col min="5" max="5" width="12.85546875" style="103" bestFit="1" customWidth="1"/>
    <col min="6" max="6" width="11.85546875" style="1" customWidth="1"/>
    <col min="7" max="7" width="12.85546875" style="103" bestFit="1" customWidth="1"/>
    <col min="8" max="8" width="11.85546875" style="1" customWidth="1"/>
    <col min="9" max="9" width="12.85546875" style="103" bestFit="1" customWidth="1"/>
    <col min="10" max="10" width="11.5703125" style="1" customWidth="1"/>
    <col min="11" max="11" width="14" style="103" customWidth="1"/>
    <col min="12" max="244" width="9.140625" style="1"/>
    <col min="245" max="245" width="19.28515625" style="1" customWidth="1"/>
    <col min="246" max="246" width="64.5703125" style="1" customWidth="1"/>
    <col min="247" max="247" width="38.28515625" style="1" bestFit="1" customWidth="1"/>
    <col min="248" max="500" width="9.140625" style="1"/>
    <col min="501" max="501" width="19.28515625" style="1" customWidth="1"/>
    <col min="502" max="502" width="64.5703125" style="1" customWidth="1"/>
    <col min="503" max="503" width="38.28515625" style="1" bestFit="1" customWidth="1"/>
    <col min="504" max="756" width="9.140625" style="1"/>
    <col min="757" max="757" width="19.28515625" style="1" customWidth="1"/>
    <col min="758" max="758" width="64.5703125" style="1" customWidth="1"/>
    <col min="759" max="759" width="38.28515625" style="1" bestFit="1" customWidth="1"/>
    <col min="760" max="1012" width="9.140625" style="1"/>
    <col min="1013" max="1013" width="19.28515625" style="1" customWidth="1"/>
    <col min="1014" max="1014" width="64.5703125" style="1" customWidth="1"/>
    <col min="1015" max="1015" width="38.28515625" style="1" bestFit="1" customWidth="1"/>
    <col min="1016" max="1268" width="9.140625" style="1"/>
    <col min="1269" max="1269" width="19.28515625" style="1" customWidth="1"/>
    <col min="1270" max="1270" width="64.5703125" style="1" customWidth="1"/>
    <col min="1271" max="1271" width="38.28515625" style="1" bestFit="1" customWidth="1"/>
    <col min="1272" max="1524" width="9.140625" style="1"/>
    <col min="1525" max="1525" width="19.28515625" style="1" customWidth="1"/>
    <col min="1526" max="1526" width="64.5703125" style="1" customWidth="1"/>
    <col min="1527" max="1527" width="38.28515625" style="1" bestFit="1" customWidth="1"/>
    <col min="1528" max="1780" width="9.140625" style="1"/>
    <col min="1781" max="1781" width="19.28515625" style="1" customWidth="1"/>
    <col min="1782" max="1782" width="64.5703125" style="1" customWidth="1"/>
    <col min="1783" max="1783" width="38.28515625" style="1" bestFit="1" customWidth="1"/>
    <col min="1784" max="2036" width="9.140625" style="1"/>
    <col min="2037" max="2037" width="19.28515625" style="1" customWidth="1"/>
    <col min="2038" max="2038" width="64.5703125" style="1" customWidth="1"/>
    <col min="2039" max="2039" width="38.28515625" style="1" bestFit="1" customWidth="1"/>
    <col min="2040" max="2292" width="9.140625" style="1"/>
    <col min="2293" max="2293" width="19.28515625" style="1" customWidth="1"/>
    <col min="2294" max="2294" width="64.5703125" style="1" customWidth="1"/>
    <col min="2295" max="2295" width="38.28515625" style="1" bestFit="1" customWidth="1"/>
    <col min="2296" max="2548" width="9.140625" style="1"/>
    <col min="2549" max="2549" width="19.28515625" style="1" customWidth="1"/>
    <col min="2550" max="2550" width="64.5703125" style="1" customWidth="1"/>
    <col min="2551" max="2551" width="38.28515625" style="1" bestFit="1" customWidth="1"/>
    <col min="2552" max="2804" width="9.140625" style="1"/>
    <col min="2805" max="2805" width="19.28515625" style="1" customWidth="1"/>
    <col min="2806" max="2806" width="64.5703125" style="1" customWidth="1"/>
    <col min="2807" max="2807" width="38.28515625" style="1" bestFit="1" customWidth="1"/>
    <col min="2808" max="3060" width="9.140625" style="1"/>
    <col min="3061" max="3061" width="19.28515625" style="1" customWidth="1"/>
    <col min="3062" max="3062" width="64.5703125" style="1" customWidth="1"/>
    <col min="3063" max="3063" width="38.28515625" style="1" bestFit="1" customWidth="1"/>
    <col min="3064" max="3316" width="9.140625" style="1"/>
    <col min="3317" max="3317" width="19.28515625" style="1" customWidth="1"/>
    <col min="3318" max="3318" width="64.5703125" style="1" customWidth="1"/>
    <col min="3319" max="3319" width="38.28515625" style="1" bestFit="1" customWidth="1"/>
    <col min="3320" max="3572" width="9.140625" style="1"/>
    <col min="3573" max="3573" width="19.28515625" style="1" customWidth="1"/>
    <col min="3574" max="3574" width="64.5703125" style="1" customWidth="1"/>
    <col min="3575" max="3575" width="38.28515625" style="1" bestFit="1" customWidth="1"/>
    <col min="3576" max="3828" width="9.140625" style="1"/>
    <col min="3829" max="3829" width="19.28515625" style="1" customWidth="1"/>
    <col min="3830" max="3830" width="64.5703125" style="1" customWidth="1"/>
    <col min="3831" max="3831" width="38.28515625" style="1" bestFit="1" customWidth="1"/>
    <col min="3832" max="4084" width="9.140625" style="1"/>
    <col min="4085" max="4085" width="19.28515625" style="1" customWidth="1"/>
    <col min="4086" max="4086" width="64.5703125" style="1" customWidth="1"/>
    <col min="4087" max="4087" width="38.28515625" style="1" bestFit="1" customWidth="1"/>
    <col min="4088" max="4340" width="9.140625" style="1"/>
    <col min="4341" max="4341" width="19.28515625" style="1" customWidth="1"/>
    <col min="4342" max="4342" width="64.5703125" style="1" customWidth="1"/>
    <col min="4343" max="4343" width="38.28515625" style="1" bestFit="1" customWidth="1"/>
    <col min="4344" max="4596" width="9.140625" style="1"/>
    <col min="4597" max="4597" width="19.28515625" style="1" customWidth="1"/>
    <col min="4598" max="4598" width="64.5703125" style="1" customWidth="1"/>
    <col min="4599" max="4599" width="38.28515625" style="1" bestFit="1" customWidth="1"/>
    <col min="4600" max="4852" width="9.140625" style="1"/>
    <col min="4853" max="4853" width="19.28515625" style="1" customWidth="1"/>
    <col min="4854" max="4854" width="64.5703125" style="1" customWidth="1"/>
    <col min="4855" max="4855" width="38.28515625" style="1" bestFit="1" customWidth="1"/>
    <col min="4856" max="5108" width="9.140625" style="1"/>
    <col min="5109" max="5109" width="19.28515625" style="1" customWidth="1"/>
    <col min="5110" max="5110" width="64.5703125" style="1" customWidth="1"/>
    <col min="5111" max="5111" width="38.28515625" style="1" bestFit="1" customWidth="1"/>
    <col min="5112" max="5364" width="9.140625" style="1"/>
    <col min="5365" max="5365" width="19.28515625" style="1" customWidth="1"/>
    <col min="5366" max="5366" width="64.5703125" style="1" customWidth="1"/>
    <col min="5367" max="5367" width="38.28515625" style="1" bestFit="1" customWidth="1"/>
    <col min="5368" max="5620" width="9.140625" style="1"/>
    <col min="5621" max="5621" width="19.28515625" style="1" customWidth="1"/>
    <col min="5622" max="5622" width="64.5703125" style="1" customWidth="1"/>
    <col min="5623" max="5623" width="38.28515625" style="1" bestFit="1" customWidth="1"/>
    <col min="5624" max="5876" width="9.140625" style="1"/>
    <col min="5877" max="5877" width="19.28515625" style="1" customWidth="1"/>
    <col min="5878" max="5878" width="64.5703125" style="1" customWidth="1"/>
    <col min="5879" max="5879" width="38.28515625" style="1" bestFit="1" customWidth="1"/>
    <col min="5880" max="6132" width="9.140625" style="1"/>
    <col min="6133" max="6133" width="19.28515625" style="1" customWidth="1"/>
    <col min="6134" max="6134" width="64.5703125" style="1" customWidth="1"/>
    <col min="6135" max="6135" width="38.28515625" style="1" bestFit="1" customWidth="1"/>
    <col min="6136" max="6388" width="9.140625" style="1"/>
    <col min="6389" max="6389" width="19.28515625" style="1" customWidth="1"/>
    <col min="6390" max="6390" width="64.5703125" style="1" customWidth="1"/>
    <col min="6391" max="6391" width="38.28515625" style="1" bestFit="1" customWidth="1"/>
    <col min="6392" max="6644" width="9.140625" style="1"/>
    <col min="6645" max="6645" width="19.28515625" style="1" customWidth="1"/>
    <col min="6646" max="6646" width="64.5703125" style="1" customWidth="1"/>
    <col min="6647" max="6647" width="38.28515625" style="1" bestFit="1" customWidth="1"/>
    <col min="6648" max="6900" width="9.140625" style="1"/>
    <col min="6901" max="6901" width="19.28515625" style="1" customWidth="1"/>
    <col min="6902" max="6902" width="64.5703125" style="1" customWidth="1"/>
    <col min="6903" max="6903" width="38.28515625" style="1" bestFit="1" customWidth="1"/>
    <col min="6904" max="7156" width="9.140625" style="1"/>
    <col min="7157" max="7157" width="19.28515625" style="1" customWidth="1"/>
    <col min="7158" max="7158" width="64.5703125" style="1" customWidth="1"/>
    <col min="7159" max="7159" width="38.28515625" style="1" bestFit="1" customWidth="1"/>
    <col min="7160" max="7412" width="9.140625" style="1"/>
    <col min="7413" max="7413" width="19.28515625" style="1" customWidth="1"/>
    <col min="7414" max="7414" width="64.5703125" style="1" customWidth="1"/>
    <col min="7415" max="7415" width="38.28515625" style="1" bestFit="1" customWidth="1"/>
    <col min="7416" max="7668" width="9.140625" style="1"/>
    <col min="7669" max="7669" width="19.28515625" style="1" customWidth="1"/>
    <col min="7670" max="7670" width="64.5703125" style="1" customWidth="1"/>
    <col min="7671" max="7671" width="38.28515625" style="1" bestFit="1" customWidth="1"/>
    <col min="7672" max="7924" width="9.140625" style="1"/>
    <col min="7925" max="7925" width="19.28515625" style="1" customWidth="1"/>
    <col min="7926" max="7926" width="64.5703125" style="1" customWidth="1"/>
    <col min="7927" max="7927" width="38.28515625" style="1" bestFit="1" customWidth="1"/>
    <col min="7928" max="8180" width="9.140625" style="1"/>
    <col min="8181" max="8181" width="19.28515625" style="1" customWidth="1"/>
    <col min="8182" max="8182" width="64.5703125" style="1" customWidth="1"/>
    <col min="8183" max="8183" width="38.28515625" style="1" bestFit="1" customWidth="1"/>
    <col min="8184" max="8436" width="9.140625" style="1"/>
    <col min="8437" max="8437" width="19.28515625" style="1" customWidth="1"/>
    <col min="8438" max="8438" width="64.5703125" style="1" customWidth="1"/>
    <col min="8439" max="8439" width="38.28515625" style="1" bestFit="1" customWidth="1"/>
    <col min="8440" max="8692" width="9.140625" style="1"/>
    <col min="8693" max="8693" width="19.28515625" style="1" customWidth="1"/>
    <col min="8694" max="8694" width="64.5703125" style="1" customWidth="1"/>
    <col min="8695" max="8695" width="38.28515625" style="1" bestFit="1" customWidth="1"/>
    <col min="8696" max="8948" width="9.140625" style="1"/>
    <col min="8949" max="8949" width="19.28515625" style="1" customWidth="1"/>
    <col min="8950" max="8950" width="64.5703125" style="1" customWidth="1"/>
    <col min="8951" max="8951" width="38.28515625" style="1" bestFit="1" customWidth="1"/>
    <col min="8952" max="9204" width="9.140625" style="1"/>
    <col min="9205" max="9205" width="19.28515625" style="1" customWidth="1"/>
    <col min="9206" max="9206" width="64.5703125" style="1" customWidth="1"/>
    <col min="9207" max="9207" width="38.28515625" style="1" bestFit="1" customWidth="1"/>
    <col min="9208" max="9460" width="9.140625" style="1"/>
    <col min="9461" max="9461" width="19.28515625" style="1" customWidth="1"/>
    <col min="9462" max="9462" width="64.5703125" style="1" customWidth="1"/>
    <col min="9463" max="9463" width="38.28515625" style="1" bestFit="1" customWidth="1"/>
    <col min="9464" max="9716" width="9.140625" style="1"/>
    <col min="9717" max="9717" width="19.28515625" style="1" customWidth="1"/>
    <col min="9718" max="9718" width="64.5703125" style="1" customWidth="1"/>
    <col min="9719" max="9719" width="38.28515625" style="1" bestFit="1" customWidth="1"/>
    <col min="9720" max="9972" width="9.140625" style="1"/>
    <col min="9973" max="9973" width="19.28515625" style="1" customWidth="1"/>
    <col min="9974" max="9974" width="64.5703125" style="1" customWidth="1"/>
    <col min="9975" max="9975" width="38.28515625" style="1" bestFit="1" customWidth="1"/>
    <col min="9976" max="10228" width="9.140625" style="1"/>
    <col min="10229" max="10229" width="19.28515625" style="1" customWidth="1"/>
    <col min="10230" max="10230" width="64.5703125" style="1" customWidth="1"/>
    <col min="10231" max="10231" width="38.28515625" style="1" bestFit="1" customWidth="1"/>
    <col min="10232" max="10484" width="9.140625" style="1"/>
    <col min="10485" max="10485" width="19.28515625" style="1" customWidth="1"/>
    <col min="10486" max="10486" width="64.5703125" style="1" customWidth="1"/>
    <col min="10487" max="10487" width="38.28515625" style="1" bestFit="1" customWidth="1"/>
    <col min="10488" max="10740" width="9.140625" style="1"/>
    <col min="10741" max="10741" width="19.28515625" style="1" customWidth="1"/>
    <col min="10742" max="10742" width="64.5703125" style="1" customWidth="1"/>
    <col min="10743" max="10743" width="38.28515625" style="1" bestFit="1" customWidth="1"/>
    <col min="10744" max="10996" width="9.140625" style="1"/>
    <col min="10997" max="10997" width="19.28515625" style="1" customWidth="1"/>
    <col min="10998" max="10998" width="64.5703125" style="1" customWidth="1"/>
    <col min="10999" max="10999" width="38.28515625" style="1" bestFit="1" customWidth="1"/>
    <col min="11000" max="11252" width="9.140625" style="1"/>
    <col min="11253" max="11253" width="19.28515625" style="1" customWidth="1"/>
    <col min="11254" max="11254" width="64.5703125" style="1" customWidth="1"/>
    <col min="11255" max="11255" width="38.28515625" style="1" bestFit="1" customWidth="1"/>
    <col min="11256" max="11508" width="9.140625" style="1"/>
    <col min="11509" max="11509" width="19.28515625" style="1" customWidth="1"/>
    <col min="11510" max="11510" width="64.5703125" style="1" customWidth="1"/>
    <col min="11511" max="11511" width="38.28515625" style="1" bestFit="1" customWidth="1"/>
    <col min="11512" max="11764" width="9.140625" style="1"/>
    <col min="11765" max="11765" width="19.28515625" style="1" customWidth="1"/>
    <col min="11766" max="11766" width="64.5703125" style="1" customWidth="1"/>
    <col min="11767" max="11767" width="38.28515625" style="1" bestFit="1" customWidth="1"/>
    <col min="11768" max="12020" width="9.140625" style="1"/>
    <col min="12021" max="12021" width="19.28515625" style="1" customWidth="1"/>
    <col min="12022" max="12022" width="64.5703125" style="1" customWidth="1"/>
    <col min="12023" max="12023" width="38.28515625" style="1" bestFit="1" customWidth="1"/>
    <col min="12024" max="12276" width="9.140625" style="1"/>
    <col min="12277" max="12277" width="19.28515625" style="1" customWidth="1"/>
    <col min="12278" max="12278" width="64.5703125" style="1" customWidth="1"/>
    <col min="12279" max="12279" width="38.28515625" style="1" bestFit="1" customWidth="1"/>
    <col min="12280" max="12532" width="9.140625" style="1"/>
    <col min="12533" max="12533" width="19.28515625" style="1" customWidth="1"/>
    <col min="12534" max="12534" width="64.5703125" style="1" customWidth="1"/>
    <col min="12535" max="12535" width="38.28515625" style="1" bestFit="1" customWidth="1"/>
    <col min="12536" max="12788" width="9.140625" style="1"/>
    <col min="12789" max="12789" width="19.28515625" style="1" customWidth="1"/>
    <col min="12790" max="12790" width="64.5703125" style="1" customWidth="1"/>
    <col min="12791" max="12791" width="38.28515625" style="1" bestFit="1" customWidth="1"/>
    <col min="12792" max="13044" width="9.140625" style="1"/>
    <col min="13045" max="13045" width="19.28515625" style="1" customWidth="1"/>
    <col min="13046" max="13046" width="64.5703125" style="1" customWidth="1"/>
    <col min="13047" max="13047" width="38.28515625" style="1" bestFit="1" customWidth="1"/>
    <col min="13048" max="13300" width="9.140625" style="1"/>
    <col min="13301" max="13301" width="19.28515625" style="1" customWidth="1"/>
    <col min="13302" max="13302" width="64.5703125" style="1" customWidth="1"/>
    <col min="13303" max="13303" width="38.28515625" style="1" bestFit="1" customWidth="1"/>
    <col min="13304" max="13556" width="9.140625" style="1"/>
    <col min="13557" max="13557" width="19.28515625" style="1" customWidth="1"/>
    <col min="13558" max="13558" width="64.5703125" style="1" customWidth="1"/>
    <col min="13559" max="13559" width="38.28515625" style="1" bestFit="1" customWidth="1"/>
    <col min="13560" max="13812" width="9.140625" style="1"/>
    <col min="13813" max="13813" width="19.28515625" style="1" customWidth="1"/>
    <col min="13814" max="13814" width="64.5703125" style="1" customWidth="1"/>
    <col min="13815" max="13815" width="38.28515625" style="1" bestFit="1" customWidth="1"/>
    <col min="13816" max="14068" width="9.140625" style="1"/>
    <col min="14069" max="14069" width="19.28515625" style="1" customWidth="1"/>
    <col min="14070" max="14070" width="64.5703125" style="1" customWidth="1"/>
    <col min="14071" max="14071" width="38.28515625" style="1" bestFit="1" customWidth="1"/>
    <col min="14072" max="14324" width="9.140625" style="1"/>
    <col min="14325" max="14325" width="19.28515625" style="1" customWidth="1"/>
    <col min="14326" max="14326" width="64.5703125" style="1" customWidth="1"/>
    <col min="14327" max="14327" width="38.28515625" style="1" bestFit="1" customWidth="1"/>
    <col min="14328" max="14580" width="9.140625" style="1"/>
    <col min="14581" max="14581" width="19.28515625" style="1" customWidth="1"/>
    <col min="14582" max="14582" width="64.5703125" style="1" customWidth="1"/>
    <col min="14583" max="14583" width="38.28515625" style="1" bestFit="1" customWidth="1"/>
    <col min="14584" max="14836" width="9.140625" style="1"/>
    <col min="14837" max="14837" width="19.28515625" style="1" customWidth="1"/>
    <col min="14838" max="14838" width="64.5703125" style="1" customWidth="1"/>
    <col min="14839" max="14839" width="38.28515625" style="1" bestFit="1" customWidth="1"/>
    <col min="14840" max="15092" width="9.140625" style="1"/>
    <col min="15093" max="15093" width="19.28515625" style="1" customWidth="1"/>
    <col min="15094" max="15094" width="64.5703125" style="1" customWidth="1"/>
    <col min="15095" max="15095" width="38.28515625" style="1" bestFit="1" customWidth="1"/>
    <col min="15096" max="15348" width="9.140625" style="1"/>
    <col min="15349" max="15349" width="19.28515625" style="1" customWidth="1"/>
    <col min="15350" max="15350" width="64.5703125" style="1" customWidth="1"/>
    <col min="15351" max="15351" width="38.28515625" style="1" bestFit="1" customWidth="1"/>
    <col min="15352" max="15604" width="9.140625" style="1"/>
    <col min="15605" max="15605" width="19.28515625" style="1" customWidth="1"/>
    <col min="15606" max="15606" width="64.5703125" style="1" customWidth="1"/>
    <col min="15607" max="15607" width="38.28515625" style="1" bestFit="1" customWidth="1"/>
    <col min="15608" max="15860" width="9.140625" style="1"/>
    <col min="15861" max="15861" width="19.28515625" style="1" customWidth="1"/>
    <col min="15862" max="15862" width="64.5703125" style="1" customWidth="1"/>
    <col min="15863" max="15863" width="38.28515625" style="1" bestFit="1" customWidth="1"/>
    <col min="15864" max="16116" width="9.140625" style="1"/>
    <col min="16117" max="16117" width="19.28515625" style="1" customWidth="1"/>
    <col min="16118" max="16118" width="64.5703125" style="1" customWidth="1"/>
    <col min="16119" max="16119" width="38.28515625" style="1" bestFit="1" customWidth="1"/>
    <col min="16120" max="16384" width="9.140625" style="1"/>
  </cols>
  <sheetData>
    <row r="1" spans="1:12" ht="37.5" customHeight="1" x14ac:dyDescent="0.25">
      <c r="H1" s="123" t="s">
        <v>75</v>
      </c>
      <c r="I1" s="123"/>
      <c r="J1" s="123"/>
      <c r="K1" s="123"/>
    </row>
    <row r="2" spans="1:12" x14ac:dyDescent="0.25">
      <c r="A2" s="2"/>
      <c r="B2" s="3"/>
      <c r="C2" s="3"/>
      <c r="D2" s="4"/>
      <c r="E2" s="101"/>
      <c r="F2" s="4"/>
      <c r="G2" s="101"/>
      <c r="H2" s="4"/>
      <c r="J2" s="4"/>
    </row>
    <row r="3" spans="1:12" ht="25.5" customHeight="1" x14ac:dyDescent="0.25">
      <c r="A3" s="114" t="s">
        <v>0</v>
      </c>
      <c r="B3" s="117" t="s">
        <v>92</v>
      </c>
      <c r="C3" s="118"/>
      <c r="D3" s="124" t="s">
        <v>71</v>
      </c>
      <c r="E3" s="124"/>
      <c r="F3" s="125" t="s">
        <v>72</v>
      </c>
      <c r="G3" s="125"/>
      <c r="H3" s="125" t="s">
        <v>73</v>
      </c>
      <c r="I3" s="125"/>
      <c r="J3" s="125" t="s">
        <v>74</v>
      </c>
      <c r="K3" s="125"/>
    </row>
    <row r="4" spans="1:12" x14ac:dyDescent="0.25">
      <c r="A4" s="115"/>
      <c r="B4" s="119"/>
      <c r="C4" s="120"/>
      <c r="D4" s="98" t="s">
        <v>1</v>
      </c>
      <c r="E4" s="97" t="s">
        <v>2</v>
      </c>
      <c r="F4" s="98" t="s">
        <v>1</v>
      </c>
      <c r="G4" s="97" t="s">
        <v>2</v>
      </c>
      <c r="H4" s="98" t="s">
        <v>1</v>
      </c>
      <c r="I4" s="97" t="s">
        <v>2</v>
      </c>
      <c r="J4" s="98" t="s">
        <v>1</v>
      </c>
      <c r="K4" s="97" t="s">
        <v>2</v>
      </c>
    </row>
    <row r="5" spans="1:12" ht="15.75" x14ac:dyDescent="0.25">
      <c r="A5" s="115"/>
      <c r="B5" s="110" t="s">
        <v>3</v>
      </c>
      <c r="C5" s="111"/>
      <c r="D5" s="105">
        <f t="shared" ref="D5:K5" si="0">D6+D31</f>
        <v>158050</v>
      </c>
      <c r="E5" s="99">
        <f t="shared" si="0"/>
        <v>158050</v>
      </c>
      <c r="F5" s="105">
        <f t="shared" si="0"/>
        <v>747584</v>
      </c>
      <c r="G5" s="99">
        <f>G6+G31</f>
        <v>600143</v>
      </c>
      <c r="H5" s="106">
        <f t="shared" si="0"/>
        <v>1307857</v>
      </c>
      <c r="I5" s="100">
        <f t="shared" si="0"/>
        <v>600143</v>
      </c>
      <c r="J5" s="106">
        <f t="shared" si="0"/>
        <v>1267987</v>
      </c>
      <c r="K5" s="100">
        <f t="shared" si="0"/>
        <v>0</v>
      </c>
    </row>
    <row r="6" spans="1:12" ht="15.75" x14ac:dyDescent="0.25">
      <c r="A6" s="116"/>
      <c r="B6" s="112" t="s">
        <v>4</v>
      </c>
      <c r="C6" s="113"/>
      <c r="D6" s="6">
        <f t="shared" ref="D6:K6" si="1">D7+D19</f>
        <v>147440</v>
      </c>
      <c r="E6" s="84">
        <f t="shared" si="1"/>
        <v>147440</v>
      </c>
      <c r="F6" s="6">
        <f t="shared" si="1"/>
        <v>707714</v>
      </c>
      <c r="G6" s="84">
        <f t="shared" si="1"/>
        <v>560273</v>
      </c>
      <c r="H6" s="6">
        <f t="shared" si="1"/>
        <v>1267987</v>
      </c>
      <c r="I6" s="84">
        <f t="shared" si="1"/>
        <v>560273</v>
      </c>
      <c r="J6" s="6">
        <f t="shared" si="1"/>
        <v>1267987</v>
      </c>
      <c r="K6" s="84">
        <f t="shared" si="1"/>
        <v>0</v>
      </c>
    </row>
    <row r="7" spans="1:12" ht="15.75" x14ac:dyDescent="0.25">
      <c r="A7" s="7" t="s">
        <v>5</v>
      </c>
      <c r="B7" s="8" t="s">
        <v>6</v>
      </c>
      <c r="C7" s="9"/>
      <c r="D7" s="10">
        <f t="shared" ref="D7:K7" si="2">D8+D15</f>
        <v>134175</v>
      </c>
      <c r="E7" s="85">
        <f t="shared" si="2"/>
        <v>134175</v>
      </c>
      <c r="F7" s="10">
        <f t="shared" si="2"/>
        <v>644042</v>
      </c>
      <c r="G7" s="85">
        <f t="shared" si="2"/>
        <v>509866</v>
      </c>
      <c r="H7" s="11">
        <f t="shared" si="2"/>
        <v>1153908</v>
      </c>
      <c r="I7" s="88">
        <f t="shared" si="2"/>
        <v>509866</v>
      </c>
      <c r="J7" s="11">
        <f t="shared" si="2"/>
        <v>1153908</v>
      </c>
      <c r="K7" s="88">
        <f t="shared" si="2"/>
        <v>0</v>
      </c>
    </row>
    <row r="8" spans="1:12" ht="15.75" x14ac:dyDescent="0.25">
      <c r="A8" s="12" t="s">
        <v>7</v>
      </c>
      <c r="B8" s="13" t="s">
        <v>8</v>
      </c>
      <c r="C8" s="14"/>
      <c r="D8" s="15">
        <f t="shared" ref="D8" si="3">D9+D11</f>
        <v>103530</v>
      </c>
      <c r="E8" s="86">
        <f t="shared" ref="E8:K8" si="4">E9+E11</f>
        <v>103530</v>
      </c>
      <c r="F8" s="15">
        <f t="shared" si="4"/>
        <v>496944</v>
      </c>
      <c r="G8" s="86">
        <f t="shared" si="4"/>
        <v>393414</v>
      </c>
      <c r="H8" s="15">
        <f t="shared" si="4"/>
        <v>890358</v>
      </c>
      <c r="I8" s="86">
        <f t="shared" si="4"/>
        <v>393414</v>
      </c>
      <c r="J8" s="15">
        <f t="shared" si="4"/>
        <v>890358</v>
      </c>
      <c r="K8" s="86">
        <f t="shared" si="4"/>
        <v>0</v>
      </c>
    </row>
    <row r="9" spans="1:12" x14ac:dyDescent="0.25">
      <c r="A9" s="16" t="s">
        <v>9</v>
      </c>
      <c r="B9" s="16" t="s">
        <v>10</v>
      </c>
      <c r="C9" s="17"/>
      <c r="D9" s="18">
        <f t="shared" ref="D9:J9" si="5">SUM(D10:D10)</f>
        <v>71400</v>
      </c>
      <c r="E9" s="82">
        <f>SUM(E10:E10)</f>
        <v>71400</v>
      </c>
      <c r="F9" s="18">
        <f t="shared" si="5"/>
        <v>342720</v>
      </c>
      <c r="G9" s="82">
        <f>SUM(G10:G10)</f>
        <v>271320</v>
      </c>
      <c r="H9" s="18">
        <f t="shared" si="5"/>
        <v>614040</v>
      </c>
      <c r="I9" s="82">
        <f>SUM(I10:I10)</f>
        <v>271320</v>
      </c>
      <c r="J9" s="18">
        <f t="shared" si="5"/>
        <v>614040</v>
      </c>
      <c r="K9" s="82">
        <f>SUM(K10:K10)</f>
        <v>0</v>
      </c>
    </row>
    <row r="10" spans="1:12" ht="45" customHeight="1" x14ac:dyDescent="0.25">
      <c r="A10" s="19" t="s">
        <v>11</v>
      </c>
      <c r="B10" s="20" t="s">
        <v>76</v>
      </c>
      <c r="C10" s="21" t="s">
        <v>79</v>
      </c>
      <c r="D10" s="22">
        <f t="shared" ref="D10:K10" si="6">(1190*D46)*12</f>
        <v>71400</v>
      </c>
      <c r="E10" s="83">
        <f t="shared" si="6"/>
        <v>71400</v>
      </c>
      <c r="F10" s="22">
        <f t="shared" si="6"/>
        <v>342720</v>
      </c>
      <c r="G10" s="83">
        <f t="shared" si="6"/>
        <v>271320</v>
      </c>
      <c r="H10" s="22">
        <f t="shared" si="6"/>
        <v>614040</v>
      </c>
      <c r="I10" s="83">
        <f t="shared" si="6"/>
        <v>271320</v>
      </c>
      <c r="J10" s="22">
        <f t="shared" si="6"/>
        <v>614040</v>
      </c>
      <c r="K10" s="83">
        <f t="shared" si="6"/>
        <v>0</v>
      </c>
    </row>
    <row r="11" spans="1:12" x14ac:dyDescent="0.25">
      <c r="A11" s="16" t="s">
        <v>12</v>
      </c>
      <c r="B11" s="23" t="s">
        <v>13</v>
      </c>
      <c r="C11" s="17"/>
      <c r="D11" s="18">
        <f t="shared" ref="D11:K11" si="7">SUM(D12:D14)</f>
        <v>32130</v>
      </c>
      <c r="E11" s="82">
        <f t="shared" si="7"/>
        <v>32130</v>
      </c>
      <c r="F11" s="18">
        <f t="shared" si="7"/>
        <v>154224</v>
      </c>
      <c r="G11" s="82">
        <f t="shared" si="7"/>
        <v>122094</v>
      </c>
      <c r="H11" s="18">
        <f t="shared" si="7"/>
        <v>276318</v>
      </c>
      <c r="I11" s="82">
        <f t="shared" si="7"/>
        <v>122094</v>
      </c>
      <c r="J11" s="18">
        <f t="shared" si="7"/>
        <v>276318</v>
      </c>
      <c r="K11" s="82">
        <f t="shared" si="7"/>
        <v>0</v>
      </c>
    </row>
    <row r="12" spans="1:12" ht="45" customHeight="1" x14ac:dyDescent="0.25">
      <c r="A12" s="24" t="s">
        <v>14</v>
      </c>
      <c r="B12" s="25" t="s">
        <v>15</v>
      </c>
      <c r="C12" s="26" t="s">
        <v>80</v>
      </c>
      <c r="D12" s="22">
        <f t="shared" ref="D12:K12" si="8">ROUND(1190*0.25*D46*12,0)</f>
        <v>17850</v>
      </c>
      <c r="E12" s="83">
        <f t="shared" si="8"/>
        <v>17850</v>
      </c>
      <c r="F12" s="22">
        <f t="shared" si="8"/>
        <v>85680</v>
      </c>
      <c r="G12" s="83">
        <f t="shared" si="8"/>
        <v>67830</v>
      </c>
      <c r="H12" s="22">
        <f t="shared" si="8"/>
        <v>153510</v>
      </c>
      <c r="I12" s="83">
        <f t="shared" si="8"/>
        <v>67830</v>
      </c>
      <c r="J12" s="22">
        <f t="shared" si="8"/>
        <v>153510</v>
      </c>
      <c r="K12" s="83">
        <f t="shared" si="8"/>
        <v>0</v>
      </c>
    </row>
    <row r="13" spans="1:12" ht="22.5" customHeight="1" x14ac:dyDescent="0.25">
      <c r="A13" s="24" t="s">
        <v>12</v>
      </c>
      <c r="B13" s="27" t="s">
        <v>77</v>
      </c>
      <c r="C13" s="26" t="s">
        <v>16</v>
      </c>
      <c r="D13" s="22">
        <f t="shared" ref="D13:K13" si="9">ROUND((D9*0.1),0)</f>
        <v>7140</v>
      </c>
      <c r="E13" s="83">
        <f t="shared" si="9"/>
        <v>7140</v>
      </c>
      <c r="F13" s="22">
        <f t="shared" si="9"/>
        <v>34272</v>
      </c>
      <c r="G13" s="83">
        <f t="shared" si="9"/>
        <v>27132</v>
      </c>
      <c r="H13" s="22">
        <f t="shared" si="9"/>
        <v>61404</v>
      </c>
      <c r="I13" s="83">
        <f t="shared" si="9"/>
        <v>27132</v>
      </c>
      <c r="J13" s="22">
        <f t="shared" si="9"/>
        <v>61404</v>
      </c>
      <c r="K13" s="83">
        <f t="shared" si="9"/>
        <v>0</v>
      </c>
    </row>
    <row r="14" spans="1:12" ht="27" customHeight="1" x14ac:dyDescent="0.25">
      <c r="A14" s="28" t="s">
        <v>17</v>
      </c>
      <c r="B14" s="27" t="s">
        <v>78</v>
      </c>
      <c r="C14" s="26" t="s">
        <v>16</v>
      </c>
      <c r="D14" s="22">
        <f t="shared" ref="D14:K14" si="10">ROUND((D9*0.1),0)</f>
        <v>7140</v>
      </c>
      <c r="E14" s="83">
        <f t="shared" si="10"/>
        <v>7140</v>
      </c>
      <c r="F14" s="22">
        <f t="shared" si="10"/>
        <v>34272</v>
      </c>
      <c r="G14" s="83">
        <f t="shared" si="10"/>
        <v>27132</v>
      </c>
      <c r="H14" s="22">
        <f t="shared" si="10"/>
        <v>61404</v>
      </c>
      <c r="I14" s="83">
        <f t="shared" si="10"/>
        <v>27132</v>
      </c>
      <c r="J14" s="22">
        <f t="shared" si="10"/>
        <v>61404</v>
      </c>
      <c r="K14" s="83">
        <f t="shared" si="10"/>
        <v>0</v>
      </c>
    </row>
    <row r="15" spans="1:12" ht="32.25" customHeight="1" x14ac:dyDescent="0.25">
      <c r="A15" s="12" t="s">
        <v>18</v>
      </c>
      <c r="B15" s="29" t="s">
        <v>19</v>
      </c>
      <c r="C15" s="30"/>
      <c r="D15" s="15">
        <f t="shared" ref="D15" si="11">SUM(D16:D18)</f>
        <v>30645</v>
      </c>
      <c r="E15" s="86">
        <f t="shared" ref="E15:K15" si="12">SUM(E16:E18)</f>
        <v>30645</v>
      </c>
      <c r="F15" s="15">
        <f t="shared" si="12"/>
        <v>147098</v>
      </c>
      <c r="G15" s="86">
        <f t="shared" si="12"/>
        <v>116452</v>
      </c>
      <c r="H15" s="15">
        <f t="shared" si="12"/>
        <v>263550</v>
      </c>
      <c r="I15" s="86">
        <f t="shared" si="12"/>
        <v>116452</v>
      </c>
      <c r="J15" s="15">
        <f>SUM(J16:J18)</f>
        <v>263550</v>
      </c>
      <c r="K15" s="86">
        <f t="shared" si="12"/>
        <v>0</v>
      </c>
    </row>
    <row r="16" spans="1:12" ht="22.5" customHeight="1" x14ac:dyDescent="0.25">
      <c r="A16" s="31" t="s">
        <v>20</v>
      </c>
      <c r="B16" s="32" t="s">
        <v>21</v>
      </c>
      <c r="C16" s="26" t="s">
        <v>22</v>
      </c>
      <c r="D16" s="22">
        <f t="shared" ref="D16:K16" si="13">ROUND(((D8+D17)*0.2409),0)</f>
        <v>25800</v>
      </c>
      <c r="E16" s="83">
        <f t="shared" si="13"/>
        <v>25800</v>
      </c>
      <c r="F16" s="22">
        <f t="shared" si="13"/>
        <v>123842</v>
      </c>
      <c r="G16" s="83">
        <f t="shared" si="13"/>
        <v>98041</v>
      </c>
      <c r="H16" s="22">
        <f t="shared" si="13"/>
        <v>221883</v>
      </c>
      <c r="I16" s="83">
        <f t="shared" si="13"/>
        <v>98041</v>
      </c>
      <c r="J16" s="22">
        <f t="shared" si="13"/>
        <v>221883</v>
      </c>
      <c r="K16" s="83">
        <f t="shared" si="13"/>
        <v>0</v>
      </c>
      <c r="L16" s="33"/>
    </row>
    <row r="17" spans="1:17" ht="30.75" customHeight="1" x14ac:dyDescent="0.25">
      <c r="A17" s="28" t="s">
        <v>23</v>
      </c>
      <c r="B17" s="34" t="s">
        <v>24</v>
      </c>
      <c r="C17" s="26" t="s">
        <v>25</v>
      </c>
      <c r="D17" s="35">
        <f t="shared" ref="D17:K17" si="14">ROUND(D9*0.05,0)</f>
        <v>3570</v>
      </c>
      <c r="E17" s="87">
        <f t="shared" si="14"/>
        <v>3570</v>
      </c>
      <c r="F17" s="35">
        <f t="shared" si="14"/>
        <v>17136</v>
      </c>
      <c r="G17" s="87">
        <f t="shared" si="14"/>
        <v>13566</v>
      </c>
      <c r="H17" s="35">
        <f t="shared" si="14"/>
        <v>30702</v>
      </c>
      <c r="I17" s="87">
        <f t="shared" si="14"/>
        <v>13566</v>
      </c>
      <c r="J17" s="35">
        <f t="shared" si="14"/>
        <v>30702</v>
      </c>
      <c r="K17" s="87">
        <f t="shared" si="14"/>
        <v>0</v>
      </c>
      <c r="L17" s="33"/>
    </row>
    <row r="18" spans="1:17" ht="57" customHeight="1" x14ac:dyDescent="0.25">
      <c r="A18" s="28" t="s">
        <v>26</v>
      </c>
      <c r="B18" s="34" t="s">
        <v>27</v>
      </c>
      <c r="C18" s="36" t="s">
        <v>81</v>
      </c>
      <c r="D18" s="22">
        <f t="shared" ref="D18:K18" si="15">(242+13)*D46</f>
        <v>1275</v>
      </c>
      <c r="E18" s="83">
        <f t="shared" si="15"/>
        <v>1275</v>
      </c>
      <c r="F18" s="22">
        <f t="shared" si="15"/>
        <v>6120</v>
      </c>
      <c r="G18" s="83">
        <f t="shared" si="15"/>
        <v>4845</v>
      </c>
      <c r="H18" s="22">
        <f t="shared" si="15"/>
        <v>10965</v>
      </c>
      <c r="I18" s="83">
        <f t="shared" si="15"/>
        <v>4845</v>
      </c>
      <c r="J18" s="22">
        <f t="shared" si="15"/>
        <v>10965</v>
      </c>
      <c r="K18" s="83">
        <f t="shared" si="15"/>
        <v>0</v>
      </c>
      <c r="L18" s="33"/>
    </row>
    <row r="19" spans="1:17" ht="15.75" x14ac:dyDescent="0.25">
      <c r="A19" s="37" t="s">
        <v>28</v>
      </c>
      <c r="B19" s="38" t="s">
        <v>29</v>
      </c>
      <c r="C19" s="39"/>
      <c r="D19" s="40">
        <f t="shared" ref="D19:K19" si="16">SUM(D20:D30)</f>
        <v>13265</v>
      </c>
      <c r="E19" s="89">
        <f t="shared" si="16"/>
        <v>13265</v>
      </c>
      <c r="F19" s="40">
        <f t="shared" si="16"/>
        <v>63672</v>
      </c>
      <c r="G19" s="89">
        <f>SUM(G20:G30)</f>
        <v>50407</v>
      </c>
      <c r="H19" s="11">
        <f>SUM(H20:H30)</f>
        <v>114079</v>
      </c>
      <c r="I19" s="88">
        <f t="shared" si="16"/>
        <v>50407</v>
      </c>
      <c r="J19" s="11">
        <f t="shared" si="16"/>
        <v>114079</v>
      </c>
      <c r="K19" s="88">
        <f t="shared" si="16"/>
        <v>0</v>
      </c>
    </row>
    <row r="20" spans="1:17" ht="38.25" x14ac:dyDescent="0.25">
      <c r="A20" s="41" t="s">
        <v>30</v>
      </c>
      <c r="B20" s="28" t="s">
        <v>31</v>
      </c>
      <c r="C20" s="26" t="s">
        <v>82</v>
      </c>
      <c r="D20" s="42">
        <f t="shared" ref="D20:K20" si="17">ROUND(20*5*D46,0)</f>
        <v>500</v>
      </c>
      <c r="E20" s="90">
        <f t="shared" si="17"/>
        <v>500</v>
      </c>
      <c r="F20" s="42">
        <f>ROUND(20*5*F46,0)</f>
        <v>2400</v>
      </c>
      <c r="G20" s="90">
        <f t="shared" si="17"/>
        <v>1900</v>
      </c>
      <c r="H20" s="42">
        <f t="shared" si="17"/>
        <v>4300</v>
      </c>
      <c r="I20" s="90">
        <f t="shared" si="17"/>
        <v>1900</v>
      </c>
      <c r="J20" s="42">
        <f t="shared" si="17"/>
        <v>4300</v>
      </c>
      <c r="K20" s="90">
        <f t="shared" si="17"/>
        <v>0</v>
      </c>
    </row>
    <row r="21" spans="1:17" ht="38.25" x14ac:dyDescent="0.25">
      <c r="A21" s="41" t="s">
        <v>32</v>
      </c>
      <c r="B21" s="41" t="s">
        <v>33</v>
      </c>
      <c r="C21" s="45" t="s">
        <v>83</v>
      </c>
      <c r="D21" s="107">
        <f t="shared" ref="D21:K21" si="18">20*D46*12</f>
        <v>1200</v>
      </c>
      <c r="E21" s="91">
        <f t="shared" si="18"/>
        <v>1200</v>
      </c>
      <c r="F21" s="107">
        <f t="shared" si="18"/>
        <v>5760</v>
      </c>
      <c r="G21" s="91">
        <f t="shared" si="18"/>
        <v>4560</v>
      </c>
      <c r="H21" s="107">
        <f t="shared" si="18"/>
        <v>10320</v>
      </c>
      <c r="I21" s="91">
        <f t="shared" si="18"/>
        <v>4560</v>
      </c>
      <c r="J21" s="107">
        <f t="shared" si="18"/>
        <v>10320</v>
      </c>
      <c r="K21" s="91">
        <f t="shared" si="18"/>
        <v>0</v>
      </c>
    </row>
    <row r="22" spans="1:17" ht="38.25" x14ac:dyDescent="0.25">
      <c r="A22" s="28" t="s">
        <v>34</v>
      </c>
      <c r="B22" s="24" t="s">
        <v>35</v>
      </c>
      <c r="C22" s="26" t="s">
        <v>84</v>
      </c>
      <c r="D22" s="42">
        <f t="shared" ref="D22:K22" si="19">12*7*D46*12</f>
        <v>5040</v>
      </c>
      <c r="E22" s="90">
        <f t="shared" si="19"/>
        <v>5040</v>
      </c>
      <c r="F22" s="42">
        <f t="shared" si="19"/>
        <v>24192</v>
      </c>
      <c r="G22" s="90">
        <f t="shared" si="19"/>
        <v>19152</v>
      </c>
      <c r="H22" s="42">
        <f t="shared" si="19"/>
        <v>43344</v>
      </c>
      <c r="I22" s="90">
        <f t="shared" si="19"/>
        <v>19152</v>
      </c>
      <c r="J22" s="42">
        <f t="shared" si="19"/>
        <v>43344</v>
      </c>
      <c r="K22" s="90">
        <f t="shared" si="19"/>
        <v>0</v>
      </c>
    </row>
    <row r="23" spans="1:17" ht="38.25" x14ac:dyDescent="0.25">
      <c r="A23" s="28" t="s">
        <v>36</v>
      </c>
      <c r="B23" s="24" t="s">
        <v>37</v>
      </c>
      <c r="C23" s="26" t="s">
        <v>85</v>
      </c>
      <c r="D23" s="43">
        <f t="shared" ref="D23:K23" si="20">3*7*D46*7</f>
        <v>735</v>
      </c>
      <c r="E23" s="91">
        <f t="shared" si="20"/>
        <v>735</v>
      </c>
      <c r="F23" s="43">
        <f t="shared" si="20"/>
        <v>3528</v>
      </c>
      <c r="G23" s="91">
        <f t="shared" si="20"/>
        <v>2793</v>
      </c>
      <c r="H23" s="43">
        <f t="shared" si="20"/>
        <v>6321</v>
      </c>
      <c r="I23" s="91">
        <f t="shared" si="20"/>
        <v>2793</v>
      </c>
      <c r="J23" s="43">
        <f t="shared" si="20"/>
        <v>6321</v>
      </c>
      <c r="K23" s="91">
        <f t="shared" si="20"/>
        <v>0</v>
      </c>
    </row>
    <row r="24" spans="1:17" ht="38.25" x14ac:dyDescent="0.25">
      <c r="A24" s="28" t="s">
        <v>36</v>
      </c>
      <c r="B24" s="24" t="s">
        <v>38</v>
      </c>
      <c r="C24" s="26" t="s">
        <v>86</v>
      </c>
      <c r="D24" s="43">
        <f t="shared" ref="D24:K24" si="21">16.5*D46*12</f>
        <v>990</v>
      </c>
      <c r="E24" s="91">
        <f t="shared" si="21"/>
        <v>990</v>
      </c>
      <c r="F24" s="43">
        <f t="shared" si="21"/>
        <v>4752</v>
      </c>
      <c r="G24" s="91">
        <f t="shared" si="21"/>
        <v>3762</v>
      </c>
      <c r="H24" s="43">
        <f t="shared" si="21"/>
        <v>8514</v>
      </c>
      <c r="I24" s="91">
        <f t="shared" si="21"/>
        <v>3762</v>
      </c>
      <c r="J24" s="43">
        <f t="shared" si="21"/>
        <v>8514</v>
      </c>
      <c r="K24" s="91">
        <f t="shared" si="21"/>
        <v>0</v>
      </c>
    </row>
    <row r="25" spans="1:17" ht="38.25" x14ac:dyDescent="0.25">
      <c r="A25" s="41" t="s">
        <v>39</v>
      </c>
      <c r="B25" s="44" t="s">
        <v>40</v>
      </c>
      <c r="C25" s="45" t="s">
        <v>87</v>
      </c>
      <c r="D25" s="46">
        <f t="shared" ref="D25:K25" si="22">5*D46*12</f>
        <v>300</v>
      </c>
      <c r="E25" s="90">
        <f t="shared" si="22"/>
        <v>300</v>
      </c>
      <c r="F25" s="46">
        <f t="shared" si="22"/>
        <v>1440</v>
      </c>
      <c r="G25" s="90">
        <f t="shared" si="22"/>
        <v>1140</v>
      </c>
      <c r="H25" s="46">
        <f t="shared" si="22"/>
        <v>2580</v>
      </c>
      <c r="I25" s="90">
        <f t="shared" si="22"/>
        <v>1140</v>
      </c>
      <c r="J25" s="46">
        <f t="shared" si="22"/>
        <v>2580</v>
      </c>
      <c r="K25" s="90">
        <f t="shared" si="22"/>
        <v>0</v>
      </c>
    </row>
    <row r="26" spans="1:17" ht="38.25" x14ac:dyDescent="0.25">
      <c r="A26" s="41" t="s">
        <v>39</v>
      </c>
      <c r="B26" s="41" t="s">
        <v>41</v>
      </c>
      <c r="C26" s="45" t="s">
        <v>88</v>
      </c>
      <c r="D26" s="46">
        <f t="shared" ref="D26:K26" si="23">15*D46*12</f>
        <v>900</v>
      </c>
      <c r="E26" s="90">
        <f t="shared" si="23"/>
        <v>900</v>
      </c>
      <c r="F26" s="46">
        <f t="shared" si="23"/>
        <v>4320</v>
      </c>
      <c r="G26" s="90">
        <f t="shared" si="23"/>
        <v>3420</v>
      </c>
      <c r="H26" s="46">
        <f t="shared" si="23"/>
        <v>7740</v>
      </c>
      <c r="I26" s="90">
        <f t="shared" si="23"/>
        <v>3420</v>
      </c>
      <c r="J26" s="46">
        <f t="shared" si="23"/>
        <v>7740</v>
      </c>
      <c r="K26" s="90">
        <f t="shared" si="23"/>
        <v>0</v>
      </c>
    </row>
    <row r="27" spans="1:17" ht="38.25" x14ac:dyDescent="0.25">
      <c r="A27" s="47" t="s">
        <v>42</v>
      </c>
      <c r="B27" s="48" t="s">
        <v>43</v>
      </c>
      <c r="C27" s="49" t="s">
        <v>88</v>
      </c>
      <c r="D27" s="50">
        <f t="shared" ref="D27:K27" si="24">15*D46*12</f>
        <v>900</v>
      </c>
      <c r="E27" s="90">
        <f t="shared" si="24"/>
        <v>900</v>
      </c>
      <c r="F27" s="50">
        <f t="shared" si="24"/>
        <v>4320</v>
      </c>
      <c r="G27" s="90">
        <f t="shared" si="24"/>
        <v>3420</v>
      </c>
      <c r="H27" s="50">
        <f t="shared" si="24"/>
        <v>7740</v>
      </c>
      <c r="I27" s="90">
        <f t="shared" si="24"/>
        <v>3420</v>
      </c>
      <c r="J27" s="50">
        <f t="shared" si="24"/>
        <v>7740</v>
      </c>
      <c r="K27" s="90">
        <f t="shared" si="24"/>
        <v>0</v>
      </c>
    </row>
    <row r="28" spans="1:17" s="51" customFormat="1" ht="38.25" x14ac:dyDescent="0.25">
      <c r="A28" s="28" t="s">
        <v>44</v>
      </c>
      <c r="B28" s="28" t="s">
        <v>45</v>
      </c>
      <c r="C28" s="26" t="s">
        <v>89</v>
      </c>
      <c r="D28" s="42">
        <f t="shared" ref="D28:K28" si="25">10*D46*12</f>
        <v>600</v>
      </c>
      <c r="E28" s="90">
        <f t="shared" si="25"/>
        <v>600</v>
      </c>
      <c r="F28" s="42">
        <f t="shared" si="25"/>
        <v>2880</v>
      </c>
      <c r="G28" s="90">
        <f t="shared" si="25"/>
        <v>2280</v>
      </c>
      <c r="H28" s="42">
        <f t="shared" si="25"/>
        <v>5160</v>
      </c>
      <c r="I28" s="90">
        <f t="shared" si="25"/>
        <v>2280</v>
      </c>
      <c r="J28" s="42">
        <f t="shared" si="25"/>
        <v>5160</v>
      </c>
      <c r="K28" s="90">
        <f t="shared" si="25"/>
        <v>0</v>
      </c>
    </row>
    <row r="29" spans="1:17" ht="38.25" x14ac:dyDescent="0.25">
      <c r="A29" s="28" t="s">
        <v>46</v>
      </c>
      <c r="B29" s="28" t="s">
        <v>47</v>
      </c>
      <c r="C29" s="26" t="s">
        <v>90</v>
      </c>
      <c r="D29" s="43">
        <f t="shared" ref="D29:K29" si="26">ROUND(300*D46*12*(7.2/100)*1.25,0)</f>
        <v>1620</v>
      </c>
      <c r="E29" s="91">
        <f t="shared" si="26"/>
        <v>1620</v>
      </c>
      <c r="F29" s="43">
        <f t="shared" si="26"/>
        <v>7776</v>
      </c>
      <c r="G29" s="91">
        <f t="shared" si="26"/>
        <v>6156</v>
      </c>
      <c r="H29" s="43">
        <f t="shared" si="26"/>
        <v>13932</v>
      </c>
      <c r="I29" s="91">
        <f t="shared" si="26"/>
        <v>6156</v>
      </c>
      <c r="J29" s="43">
        <f t="shared" si="26"/>
        <v>13932</v>
      </c>
      <c r="K29" s="91">
        <f t="shared" si="26"/>
        <v>0</v>
      </c>
      <c r="L29" s="121"/>
      <c r="M29" s="122"/>
      <c r="N29" s="122"/>
      <c r="O29" s="122"/>
      <c r="P29" s="122"/>
      <c r="Q29" s="122"/>
    </row>
    <row r="30" spans="1:17" ht="38.25" x14ac:dyDescent="0.25">
      <c r="A30" s="28" t="s">
        <v>48</v>
      </c>
      <c r="B30" s="24" t="s">
        <v>49</v>
      </c>
      <c r="C30" s="26" t="s">
        <v>91</v>
      </c>
      <c r="D30" s="42">
        <f t="shared" ref="D30:K30" si="27">8*D46*12</f>
        <v>480</v>
      </c>
      <c r="E30" s="90">
        <f t="shared" si="27"/>
        <v>480</v>
      </c>
      <c r="F30" s="42">
        <f t="shared" si="27"/>
        <v>2304</v>
      </c>
      <c r="G30" s="90">
        <f t="shared" si="27"/>
        <v>1824</v>
      </c>
      <c r="H30" s="42">
        <f t="shared" si="27"/>
        <v>4128</v>
      </c>
      <c r="I30" s="90">
        <f t="shared" si="27"/>
        <v>1824</v>
      </c>
      <c r="J30" s="42">
        <f t="shared" si="27"/>
        <v>4128</v>
      </c>
      <c r="K30" s="90">
        <f t="shared" si="27"/>
        <v>0</v>
      </c>
    </row>
    <row r="31" spans="1:17" ht="15.75" x14ac:dyDescent="0.25">
      <c r="A31" s="52" t="s">
        <v>50</v>
      </c>
      <c r="B31" s="38" t="s">
        <v>51</v>
      </c>
      <c r="C31" s="53"/>
      <c r="D31" s="11">
        <f t="shared" ref="D31:K31" si="28">D32+D41</f>
        <v>10610</v>
      </c>
      <c r="E31" s="88">
        <f t="shared" si="28"/>
        <v>10610</v>
      </c>
      <c r="F31" s="11">
        <f t="shared" si="28"/>
        <v>39870</v>
      </c>
      <c r="G31" s="88">
        <f t="shared" si="28"/>
        <v>39870</v>
      </c>
      <c r="H31" s="11">
        <f t="shared" si="28"/>
        <v>39870</v>
      </c>
      <c r="I31" s="88">
        <f t="shared" si="28"/>
        <v>39870</v>
      </c>
      <c r="J31" s="11">
        <f t="shared" si="28"/>
        <v>0</v>
      </c>
      <c r="K31" s="88">
        <f t="shared" si="28"/>
        <v>0</v>
      </c>
    </row>
    <row r="32" spans="1:17" ht="15.75" x14ac:dyDescent="0.25">
      <c r="A32" s="12" t="s">
        <v>28</v>
      </c>
      <c r="B32" s="54" t="s">
        <v>52</v>
      </c>
      <c r="C32" s="55"/>
      <c r="D32" s="15">
        <f t="shared" ref="D32:K32" si="29">SUM(D33:D40)</f>
        <v>3835</v>
      </c>
      <c r="E32" s="86">
        <f t="shared" si="29"/>
        <v>3835</v>
      </c>
      <c r="F32" s="15">
        <f t="shared" si="29"/>
        <v>14125</v>
      </c>
      <c r="G32" s="86">
        <f t="shared" si="29"/>
        <v>14125</v>
      </c>
      <c r="H32" s="15">
        <f t="shared" si="29"/>
        <v>14125</v>
      </c>
      <c r="I32" s="86">
        <f t="shared" si="29"/>
        <v>14125</v>
      </c>
      <c r="J32" s="15">
        <f t="shared" si="29"/>
        <v>0</v>
      </c>
      <c r="K32" s="86">
        <f t="shared" si="29"/>
        <v>0</v>
      </c>
    </row>
    <row r="33" spans="1:15" ht="38.25" x14ac:dyDescent="0.25">
      <c r="A33" s="56" t="s">
        <v>53</v>
      </c>
      <c r="B33" s="57" t="s">
        <v>54</v>
      </c>
      <c r="C33" s="26" t="s">
        <v>94</v>
      </c>
      <c r="D33" s="22">
        <f t="shared" ref="D33:J40" si="30">E33</f>
        <v>750</v>
      </c>
      <c r="E33" s="83">
        <f t="shared" ref="E33:K33" si="31">150*E46</f>
        <v>750</v>
      </c>
      <c r="F33" s="22">
        <f t="shared" si="30"/>
        <v>2850</v>
      </c>
      <c r="G33" s="83">
        <f t="shared" si="31"/>
        <v>2850</v>
      </c>
      <c r="H33" s="22">
        <f t="shared" si="30"/>
        <v>2850</v>
      </c>
      <c r="I33" s="83">
        <f t="shared" si="31"/>
        <v>2850</v>
      </c>
      <c r="J33" s="22">
        <f t="shared" si="30"/>
        <v>0</v>
      </c>
      <c r="K33" s="83">
        <f t="shared" si="31"/>
        <v>0</v>
      </c>
      <c r="L33" s="108"/>
      <c r="M33" s="109"/>
      <c r="N33" s="109"/>
      <c r="O33" s="109"/>
    </row>
    <row r="34" spans="1:15" ht="38.25" x14ac:dyDescent="0.25">
      <c r="A34" s="56" t="s">
        <v>53</v>
      </c>
      <c r="B34" s="57" t="s">
        <v>55</v>
      </c>
      <c r="C34" s="26" t="s">
        <v>95</v>
      </c>
      <c r="D34" s="22">
        <f t="shared" si="30"/>
        <v>525</v>
      </c>
      <c r="E34" s="83">
        <f>175*ROUND(E46*0.5,0)</f>
        <v>525</v>
      </c>
      <c r="F34" s="22">
        <f t="shared" si="30"/>
        <v>1750</v>
      </c>
      <c r="G34" s="83">
        <f>175*ROUND(G46*0.5,0)</f>
        <v>1750</v>
      </c>
      <c r="H34" s="22">
        <f t="shared" si="30"/>
        <v>1750</v>
      </c>
      <c r="I34" s="83">
        <f>175*ROUND(I46*0.5,0)</f>
        <v>1750</v>
      </c>
      <c r="J34" s="22">
        <f t="shared" si="30"/>
        <v>0</v>
      </c>
      <c r="K34" s="83">
        <f t="shared" ref="K34" si="32">175*K46</f>
        <v>0</v>
      </c>
      <c r="L34" s="108"/>
      <c r="M34" s="109"/>
      <c r="N34" s="109"/>
      <c r="O34" s="109"/>
    </row>
    <row r="35" spans="1:15" ht="38.25" x14ac:dyDescent="0.25">
      <c r="A35" s="56" t="s">
        <v>53</v>
      </c>
      <c r="B35" s="57" t="s">
        <v>56</v>
      </c>
      <c r="C35" s="26" t="s">
        <v>96</v>
      </c>
      <c r="D35" s="22">
        <f t="shared" si="30"/>
        <v>300</v>
      </c>
      <c r="E35" s="83">
        <f t="shared" ref="E35:K35" si="33">60*E46</f>
        <v>300</v>
      </c>
      <c r="F35" s="22">
        <f t="shared" si="30"/>
        <v>1140</v>
      </c>
      <c r="G35" s="83">
        <f t="shared" si="33"/>
        <v>1140</v>
      </c>
      <c r="H35" s="22">
        <f t="shared" si="30"/>
        <v>1140</v>
      </c>
      <c r="I35" s="83">
        <f t="shared" si="33"/>
        <v>1140</v>
      </c>
      <c r="J35" s="22">
        <f t="shared" si="30"/>
        <v>0</v>
      </c>
      <c r="K35" s="83">
        <f t="shared" si="33"/>
        <v>0</v>
      </c>
      <c r="L35" s="108"/>
      <c r="M35" s="109"/>
      <c r="N35" s="109"/>
      <c r="O35" s="109"/>
    </row>
    <row r="36" spans="1:15" ht="38.25" x14ac:dyDescent="0.25">
      <c r="A36" s="56" t="s">
        <v>53</v>
      </c>
      <c r="B36" s="57" t="s">
        <v>57</v>
      </c>
      <c r="C36" s="26" t="s">
        <v>97</v>
      </c>
      <c r="D36" s="22">
        <f t="shared" si="30"/>
        <v>435</v>
      </c>
      <c r="E36" s="83">
        <f>145*ROUND(E46*0.5,0)</f>
        <v>435</v>
      </c>
      <c r="F36" s="22">
        <f t="shared" si="30"/>
        <v>1450</v>
      </c>
      <c r="G36" s="83">
        <f>145*ROUND(G46*0.5,0)</f>
        <v>1450</v>
      </c>
      <c r="H36" s="22">
        <f t="shared" si="30"/>
        <v>1450</v>
      </c>
      <c r="I36" s="83">
        <f>145*ROUND(I46*0.5,0)</f>
        <v>1450</v>
      </c>
      <c r="J36" s="22">
        <f t="shared" si="30"/>
        <v>0</v>
      </c>
      <c r="K36" s="83">
        <f t="shared" ref="K36" si="34">145*K46</f>
        <v>0</v>
      </c>
      <c r="L36" s="108"/>
      <c r="M36" s="109"/>
      <c r="N36" s="109"/>
      <c r="O36" s="109"/>
    </row>
    <row r="37" spans="1:15" ht="38.25" x14ac:dyDescent="0.25">
      <c r="A37" s="56" t="s">
        <v>53</v>
      </c>
      <c r="B37" s="57" t="s">
        <v>58</v>
      </c>
      <c r="C37" s="26" t="s">
        <v>98</v>
      </c>
      <c r="D37" s="22">
        <f t="shared" si="30"/>
        <v>575</v>
      </c>
      <c r="E37" s="83">
        <f t="shared" ref="E37:K37" si="35">115*E46</f>
        <v>575</v>
      </c>
      <c r="F37" s="22">
        <f t="shared" si="30"/>
        <v>2185</v>
      </c>
      <c r="G37" s="83">
        <f t="shared" si="35"/>
        <v>2185</v>
      </c>
      <c r="H37" s="22">
        <f t="shared" si="30"/>
        <v>2185</v>
      </c>
      <c r="I37" s="83">
        <f t="shared" si="35"/>
        <v>2185</v>
      </c>
      <c r="J37" s="22">
        <f t="shared" si="30"/>
        <v>0</v>
      </c>
      <c r="K37" s="83">
        <f t="shared" si="35"/>
        <v>0</v>
      </c>
      <c r="L37" s="108"/>
      <c r="M37" s="109"/>
      <c r="N37" s="109"/>
      <c r="O37" s="109"/>
    </row>
    <row r="38" spans="1:15" ht="38.25" x14ac:dyDescent="0.25">
      <c r="A38" s="56" t="s">
        <v>53</v>
      </c>
      <c r="B38" s="57" t="s">
        <v>59</v>
      </c>
      <c r="C38" s="26" t="s">
        <v>99</v>
      </c>
      <c r="D38" s="22">
        <f t="shared" si="30"/>
        <v>150</v>
      </c>
      <c r="E38" s="83">
        <f t="shared" ref="E38:K38" si="36">30*E46</f>
        <v>150</v>
      </c>
      <c r="F38" s="22">
        <f t="shared" si="30"/>
        <v>570</v>
      </c>
      <c r="G38" s="83">
        <f t="shared" si="36"/>
        <v>570</v>
      </c>
      <c r="H38" s="22">
        <f t="shared" si="30"/>
        <v>570</v>
      </c>
      <c r="I38" s="83">
        <f t="shared" si="36"/>
        <v>570</v>
      </c>
      <c r="J38" s="22">
        <f t="shared" si="30"/>
        <v>0</v>
      </c>
      <c r="K38" s="83">
        <f t="shared" si="36"/>
        <v>0</v>
      </c>
      <c r="L38" s="108"/>
      <c r="M38" s="109"/>
      <c r="N38" s="109"/>
      <c r="O38" s="109"/>
    </row>
    <row r="39" spans="1:15" ht="38.25" x14ac:dyDescent="0.25">
      <c r="A39" s="24" t="s">
        <v>53</v>
      </c>
      <c r="B39" s="58" t="s">
        <v>60</v>
      </c>
      <c r="C39" s="26" t="s">
        <v>94</v>
      </c>
      <c r="D39" s="22">
        <f t="shared" si="30"/>
        <v>750</v>
      </c>
      <c r="E39" s="83">
        <f t="shared" ref="E39:K39" si="37">150*E46</f>
        <v>750</v>
      </c>
      <c r="F39" s="22">
        <f t="shared" si="30"/>
        <v>2850</v>
      </c>
      <c r="G39" s="83">
        <f t="shared" si="37"/>
        <v>2850</v>
      </c>
      <c r="H39" s="22">
        <f t="shared" si="30"/>
        <v>2850</v>
      </c>
      <c r="I39" s="83">
        <f t="shared" si="37"/>
        <v>2850</v>
      </c>
      <c r="J39" s="22">
        <f t="shared" si="30"/>
        <v>0</v>
      </c>
      <c r="K39" s="83">
        <f t="shared" si="37"/>
        <v>0</v>
      </c>
      <c r="L39" s="108"/>
      <c r="M39" s="109"/>
      <c r="N39" s="109"/>
      <c r="O39" s="109"/>
    </row>
    <row r="40" spans="1:15" ht="38.25" x14ac:dyDescent="0.25">
      <c r="A40" s="56" t="s">
        <v>53</v>
      </c>
      <c r="B40" s="57" t="s">
        <v>61</v>
      </c>
      <c r="C40" s="26" t="s">
        <v>100</v>
      </c>
      <c r="D40" s="22">
        <f t="shared" si="30"/>
        <v>350</v>
      </c>
      <c r="E40" s="83">
        <f t="shared" ref="E40:K40" si="38">70*E46</f>
        <v>350</v>
      </c>
      <c r="F40" s="22">
        <f t="shared" si="30"/>
        <v>1330</v>
      </c>
      <c r="G40" s="83">
        <f t="shared" si="38"/>
        <v>1330</v>
      </c>
      <c r="H40" s="22">
        <f t="shared" si="30"/>
        <v>1330</v>
      </c>
      <c r="I40" s="83">
        <f t="shared" si="38"/>
        <v>1330</v>
      </c>
      <c r="J40" s="22">
        <f t="shared" si="30"/>
        <v>0</v>
      </c>
      <c r="K40" s="83">
        <f t="shared" si="38"/>
        <v>0</v>
      </c>
      <c r="L40" s="108"/>
      <c r="M40" s="109"/>
      <c r="N40" s="109"/>
      <c r="O40" s="109"/>
    </row>
    <row r="41" spans="1:15" ht="15.75" customHeight="1" x14ac:dyDescent="0.25">
      <c r="A41" s="59" t="s">
        <v>62</v>
      </c>
      <c r="B41" s="60" t="s">
        <v>63</v>
      </c>
      <c r="C41" s="61"/>
      <c r="D41" s="15">
        <f t="shared" ref="D41:K41" si="39">SUM(D42:D44)</f>
        <v>6775</v>
      </c>
      <c r="E41" s="86">
        <f t="shared" si="39"/>
        <v>6775</v>
      </c>
      <c r="F41" s="15">
        <f t="shared" si="39"/>
        <v>25745</v>
      </c>
      <c r="G41" s="86">
        <f t="shared" si="39"/>
        <v>25745</v>
      </c>
      <c r="H41" s="15">
        <f t="shared" si="39"/>
        <v>25745</v>
      </c>
      <c r="I41" s="86">
        <f t="shared" si="39"/>
        <v>25745</v>
      </c>
      <c r="J41" s="15">
        <f t="shared" si="39"/>
        <v>0</v>
      </c>
      <c r="K41" s="86">
        <f t="shared" si="39"/>
        <v>0</v>
      </c>
      <c r="L41" s="108"/>
      <c r="M41" s="109"/>
      <c r="N41" s="109"/>
      <c r="O41" s="109"/>
    </row>
    <row r="42" spans="1:15" ht="38.25" x14ac:dyDescent="0.25">
      <c r="A42" s="24" t="s">
        <v>64</v>
      </c>
      <c r="B42" s="58" t="s">
        <v>65</v>
      </c>
      <c r="C42" s="26" t="s">
        <v>101</v>
      </c>
      <c r="D42" s="22">
        <f t="shared" ref="D42:J44" si="40">E42</f>
        <v>3700</v>
      </c>
      <c r="E42" s="83">
        <f t="shared" ref="E42:K42" si="41">740*E46</f>
        <v>3700</v>
      </c>
      <c r="F42" s="22">
        <f t="shared" si="40"/>
        <v>14060</v>
      </c>
      <c r="G42" s="83">
        <f t="shared" si="41"/>
        <v>14060</v>
      </c>
      <c r="H42" s="22">
        <f t="shared" si="40"/>
        <v>14060</v>
      </c>
      <c r="I42" s="83">
        <f t="shared" si="41"/>
        <v>14060</v>
      </c>
      <c r="J42" s="22">
        <f t="shared" si="40"/>
        <v>0</v>
      </c>
      <c r="K42" s="83">
        <f t="shared" si="41"/>
        <v>0</v>
      </c>
      <c r="L42" s="108"/>
      <c r="M42" s="109"/>
      <c r="N42" s="109"/>
      <c r="O42" s="109"/>
    </row>
    <row r="43" spans="1:15" ht="38.25" x14ac:dyDescent="0.25">
      <c r="A43" s="56" t="s">
        <v>64</v>
      </c>
      <c r="B43" s="57" t="s">
        <v>66</v>
      </c>
      <c r="C43" s="26" t="s">
        <v>102</v>
      </c>
      <c r="D43" s="22">
        <f t="shared" si="40"/>
        <v>1575</v>
      </c>
      <c r="E43" s="83">
        <f t="shared" ref="E43:K43" si="42">315*E46</f>
        <v>1575</v>
      </c>
      <c r="F43" s="22">
        <f t="shared" si="40"/>
        <v>5985</v>
      </c>
      <c r="G43" s="83">
        <f t="shared" si="42"/>
        <v>5985</v>
      </c>
      <c r="H43" s="22">
        <f t="shared" si="40"/>
        <v>5985</v>
      </c>
      <c r="I43" s="83">
        <f t="shared" si="42"/>
        <v>5985</v>
      </c>
      <c r="J43" s="22">
        <f t="shared" si="40"/>
        <v>0</v>
      </c>
      <c r="K43" s="83">
        <f t="shared" si="42"/>
        <v>0</v>
      </c>
      <c r="L43" s="108"/>
      <c r="M43" s="109"/>
      <c r="N43" s="109"/>
      <c r="O43" s="109"/>
    </row>
    <row r="44" spans="1:15" ht="38.25" x14ac:dyDescent="0.25">
      <c r="A44" s="56" t="s">
        <v>64</v>
      </c>
      <c r="B44" s="57" t="s">
        <v>67</v>
      </c>
      <c r="C44" s="26" t="s">
        <v>103</v>
      </c>
      <c r="D44" s="22">
        <f t="shared" si="40"/>
        <v>1500</v>
      </c>
      <c r="E44" s="83">
        <f t="shared" ref="E44:K44" si="43">300*E46</f>
        <v>1500</v>
      </c>
      <c r="F44" s="22">
        <f t="shared" si="40"/>
        <v>5700</v>
      </c>
      <c r="G44" s="83">
        <f t="shared" si="43"/>
        <v>5700</v>
      </c>
      <c r="H44" s="22">
        <f t="shared" si="40"/>
        <v>5700</v>
      </c>
      <c r="I44" s="83">
        <f t="shared" si="43"/>
        <v>5700</v>
      </c>
      <c r="J44" s="22">
        <f t="shared" si="40"/>
        <v>0</v>
      </c>
      <c r="K44" s="83">
        <f t="shared" si="43"/>
        <v>0</v>
      </c>
      <c r="L44" s="108"/>
      <c r="M44" s="109"/>
      <c r="N44" s="109"/>
      <c r="O44" s="109"/>
    </row>
    <row r="45" spans="1:15" s="65" customFormat="1" x14ac:dyDescent="0.25">
      <c r="A45" s="62"/>
      <c r="B45" s="44"/>
      <c r="C45" s="63"/>
      <c r="D45" s="64"/>
      <c r="E45" s="102"/>
      <c r="F45" s="64"/>
      <c r="G45" s="102"/>
      <c r="H45" s="64"/>
      <c r="I45" s="102"/>
      <c r="J45" s="64"/>
      <c r="K45" s="102"/>
    </row>
    <row r="46" spans="1:15" s="65" customFormat="1" ht="15.75" x14ac:dyDescent="0.25">
      <c r="A46" s="66"/>
      <c r="B46" s="67" t="s">
        <v>68</v>
      </c>
      <c r="C46" s="68"/>
      <c r="D46" s="69">
        <f>1+4</f>
        <v>5</v>
      </c>
      <c r="E46" s="92">
        <f>1+4</f>
        <v>5</v>
      </c>
      <c r="F46" s="69">
        <f>1+4+9+10</f>
        <v>24</v>
      </c>
      <c r="G46" s="92">
        <f>9+10</f>
        <v>19</v>
      </c>
      <c r="H46" s="69">
        <f>1+4+9+10+9+10</f>
        <v>43</v>
      </c>
      <c r="I46" s="92">
        <f>9+10</f>
        <v>19</v>
      </c>
      <c r="J46" s="69">
        <f>1+4+9+10+9+10</f>
        <v>43</v>
      </c>
      <c r="K46" s="92">
        <v>0</v>
      </c>
    </row>
    <row r="47" spans="1:15" s="65" customFormat="1" ht="15.75" x14ac:dyDescent="0.25">
      <c r="A47" s="70" t="s">
        <v>5</v>
      </c>
      <c r="B47" s="67" t="s">
        <v>6</v>
      </c>
      <c r="C47" s="71"/>
      <c r="D47" s="72">
        <f t="shared" ref="D47:E47" si="44">D48+D49</f>
        <v>134175</v>
      </c>
      <c r="E47" s="93">
        <f t="shared" si="44"/>
        <v>134175</v>
      </c>
      <c r="F47" s="72">
        <f t="shared" ref="F47:K47" si="45">F48+F49</f>
        <v>644042</v>
      </c>
      <c r="G47" s="93">
        <f t="shared" si="45"/>
        <v>509866</v>
      </c>
      <c r="H47" s="72">
        <f t="shared" si="45"/>
        <v>1153908</v>
      </c>
      <c r="I47" s="93">
        <f t="shared" si="45"/>
        <v>509866</v>
      </c>
      <c r="J47" s="72">
        <f t="shared" si="45"/>
        <v>1153908</v>
      </c>
      <c r="K47" s="93">
        <f t="shared" si="45"/>
        <v>0</v>
      </c>
    </row>
    <row r="48" spans="1:15" s="65" customFormat="1" ht="15.75" x14ac:dyDescent="0.25">
      <c r="A48" s="70" t="s">
        <v>7</v>
      </c>
      <c r="B48" s="67" t="s">
        <v>8</v>
      </c>
      <c r="C48" s="73"/>
      <c r="D48" s="72">
        <f t="shared" ref="D48:K48" si="46">D8</f>
        <v>103530</v>
      </c>
      <c r="E48" s="93">
        <f t="shared" si="46"/>
        <v>103530</v>
      </c>
      <c r="F48" s="72">
        <f t="shared" si="46"/>
        <v>496944</v>
      </c>
      <c r="G48" s="93">
        <f t="shared" si="46"/>
        <v>393414</v>
      </c>
      <c r="H48" s="72">
        <f t="shared" si="46"/>
        <v>890358</v>
      </c>
      <c r="I48" s="93">
        <f t="shared" si="46"/>
        <v>393414</v>
      </c>
      <c r="J48" s="72">
        <f t="shared" si="46"/>
        <v>890358</v>
      </c>
      <c r="K48" s="93">
        <f t="shared" si="46"/>
        <v>0</v>
      </c>
    </row>
    <row r="49" spans="1:11" s="65" customFormat="1" ht="27" hidden="1" x14ac:dyDescent="0.25">
      <c r="A49" s="74" t="s">
        <v>18</v>
      </c>
      <c r="B49" s="75" t="s">
        <v>19</v>
      </c>
      <c r="C49" s="76"/>
      <c r="D49" s="77">
        <f t="shared" ref="D49:K49" si="47">D15</f>
        <v>30645</v>
      </c>
      <c r="E49" s="94">
        <f t="shared" si="47"/>
        <v>30645</v>
      </c>
      <c r="F49" s="77">
        <f t="shared" si="47"/>
        <v>147098</v>
      </c>
      <c r="G49" s="94">
        <f t="shared" si="47"/>
        <v>116452</v>
      </c>
      <c r="H49" s="77">
        <f t="shared" si="47"/>
        <v>263550</v>
      </c>
      <c r="I49" s="94">
        <f t="shared" si="47"/>
        <v>116452</v>
      </c>
      <c r="J49" s="77">
        <f t="shared" si="47"/>
        <v>263550</v>
      </c>
      <c r="K49" s="94">
        <f t="shared" si="47"/>
        <v>0</v>
      </c>
    </row>
    <row r="50" spans="1:11" s="65" customFormat="1" ht="15.75" x14ac:dyDescent="0.25">
      <c r="A50" s="70" t="s">
        <v>28</v>
      </c>
      <c r="B50" s="67" t="s">
        <v>93</v>
      </c>
      <c r="C50" s="71"/>
      <c r="D50" s="72">
        <f t="shared" ref="D50:K50" si="48">D19+D32</f>
        <v>17100</v>
      </c>
      <c r="E50" s="93">
        <f t="shared" si="48"/>
        <v>17100</v>
      </c>
      <c r="F50" s="72">
        <f t="shared" si="48"/>
        <v>77797</v>
      </c>
      <c r="G50" s="93">
        <f t="shared" si="48"/>
        <v>64532</v>
      </c>
      <c r="H50" s="72">
        <f t="shared" si="48"/>
        <v>128204</v>
      </c>
      <c r="I50" s="93">
        <f t="shared" si="48"/>
        <v>64532</v>
      </c>
      <c r="J50" s="72">
        <f t="shared" si="48"/>
        <v>114079</v>
      </c>
      <c r="K50" s="93">
        <f t="shared" si="48"/>
        <v>0</v>
      </c>
    </row>
    <row r="51" spans="1:11" s="65" customFormat="1" ht="15.75" x14ac:dyDescent="0.25">
      <c r="A51" s="70" t="s">
        <v>62</v>
      </c>
      <c r="B51" s="78" t="s">
        <v>69</v>
      </c>
      <c r="C51" s="71"/>
      <c r="D51" s="72">
        <f t="shared" ref="D51:K51" si="49">D41</f>
        <v>6775</v>
      </c>
      <c r="E51" s="93">
        <f t="shared" si="49"/>
        <v>6775</v>
      </c>
      <c r="F51" s="72">
        <f t="shared" si="49"/>
        <v>25745</v>
      </c>
      <c r="G51" s="93">
        <f t="shared" si="49"/>
        <v>25745</v>
      </c>
      <c r="H51" s="72">
        <f t="shared" si="49"/>
        <v>25745</v>
      </c>
      <c r="I51" s="93">
        <f t="shared" si="49"/>
        <v>25745</v>
      </c>
      <c r="J51" s="72">
        <f t="shared" si="49"/>
        <v>0</v>
      </c>
      <c r="K51" s="93">
        <f t="shared" si="49"/>
        <v>0</v>
      </c>
    </row>
    <row r="52" spans="1:11" s="65" customFormat="1" ht="15.75" x14ac:dyDescent="0.25">
      <c r="A52" s="79"/>
      <c r="B52" s="5" t="s">
        <v>70</v>
      </c>
      <c r="C52" s="71"/>
      <c r="D52" s="80">
        <f t="shared" ref="D52:E52" si="50">D47+D50+D51</f>
        <v>158050</v>
      </c>
      <c r="E52" s="95">
        <f t="shared" si="50"/>
        <v>158050</v>
      </c>
      <c r="F52" s="80">
        <f t="shared" ref="F52:K52" si="51">F47+F50+F51</f>
        <v>747584</v>
      </c>
      <c r="G52" s="95">
        <f t="shared" si="51"/>
        <v>600143</v>
      </c>
      <c r="H52" s="80">
        <f t="shared" si="51"/>
        <v>1307857</v>
      </c>
      <c r="I52" s="95">
        <f t="shared" si="51"/>
        <v>600143</v>
      </c>
      <c r="J52" s="80">
        <f t="shared" si="51"/>
        <v>1267987</v>
      </c>
      <c r="K52" s="95">
        <f t="shared" si="51"/>
        <v>0</v>
      </c>
    </row>
    <row r="53" spans="1:11" s="65" customFormat="1" hidden="1" x14ac:dyDescent="0.25">
      <c r="D53" s="81">
        <f>D52-D5</f>
        <v>0</v>
      </c>
      <c r="E53" s="96"/>
      <c r="F53" s="81">
        <f>F52-F5</f>
        <v>0</v>
      </c>
      <c r="G53" s="96"/>
      <c r="H53" s="81">
        <f>H52-H5</f>
        <v>0</v>
      </c>
      <c r="I53" s="104"/>
      <c r="J53" s="81">
        <f>J52-J5</f>
        <v>0</v>
      </c>
      <c r="K53" s="104"/>
    </row>
  </sheetData>
  <mergeCells count="10">
    <mergeCell ref="H1:K1"/>
    <mergeCell ref="D3:E3"/>
    <mergeCell ref="F3:G3"/>
    <mergeCell ref="H3:I3"/>
    <mergeCell ref="J3:K3"/>
    <mergeCell ref="B5:C5"/>
    <mergeCell ref="B6:C6"/>
    <mergeCell ref="A3:A6"/>
    <mergeCell ref="B3:C4"/>
    <mergeCell ref="L29:Q29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Footer>&amp;C&amp;P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KOPĀ</vt:lpstr>
      <vt:lpstr>KOPĀ!Drukāt_virsrakstus</vt:lpstr>
    </vt:vector>
  </TitlesOfParts>
  <Company>Valsts Probācijas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Karole</dc:creator>
  <cp:lastModifiedBy>Uldis Zemzars</cp:lastModifiedBy>
  <cp:lastPrinted>2018-11-02T08:05:19Z</cp:lastPrinted>
  <dcterms:created xsi:type="dcterms:W3CDTF">2018-10-18T11:41:18Z</dcterms:created>
  <dcterms:modified xsi:type="dcterms:W3CDTF">2018-11-07T13:44:25Z</dcterms:modified>
</cp:coreProperties>
</file>